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loucks/Desktop/Zirc &amp; WR indicators Cu fertility-Loucks &amp; Fiorentini MS to Econ Geol/Econ Geol Scientific Commun Ms REVISED/"/>
    </mc:Choice>
  </mc:AlternateContent>
  <xr:revisionPtr revIDLastSave="0" documentId="13_ncr:1_{4AD62624-3418-BF43-80E5-729CCFAA8744}" xr6:coauthVersionLast="36" xr6:coauthVersionMax="36" xr10:uidLastSave="{00000000-0000-0000-0000-000000000000}"/>
  <bookViews>
    <workbookView xWindow="300" yWindow="460" windowWidth="28400" windowHeight="17440" activeTab="2" xr2:uid="{00000000-000D-0000-FFFF-FFFF00000000}"/>
  </bookViews>
  <sheets>
    <sheet name="El Salvador hbld comps" sheetId="1" r:id="rId1"/>
    <sheet name="El Salvador zircon comps" sheetId="2" r:id="rId2"/>
    <sheet name="Villalobos zircons" sheetId="3" r:id="rId3"/>
  </sheets>
  <definedNames>
    <definedName name="_xlnm._FilterDatabase" localSheetId="2" hidden="1">'Villalobos zircons'!$C$1:$C$37</definedName>
  </definedNames>
  <calcPr calcId="181029"/>
</workbook>
</file>

<file path=xl/calcChain.xml><?xml version="1.0" encoding="utf-8"?>
<calcChain xmlns="http://schemas.openxmlformats.org/spreadsheetml/2006/main">
  <c r="AV37" i="3" l="1"/>
  <c r="AU37" i="3"/>
  <c r="AS37" i="3"/>
  <c r="AQ37" i="3"/>
  <c r="AP37" i="3"/>
  <c r="AO37" i="3"/>
  <c r="AN37" i="3"/>
  <c r="AM37" i="3"/>
  <c r="AL37" i="3"/>
  <c r="AK37" i="3"/>
  <c r="AJ37" i="3"/>
  <c r="AI37" i="3"/>
  <c r="T37" i="3"/>
  <c r="AZ37" i="3" s="1"/>
  <c r="S37" i="3"/>
  <c r="H37" i="3"/>
  <c r="AV36" i="3"/>
  <c r="AU36" i="3"/>
  <c r="AS36" i="3"/>
  <c r="AQ36" i="3"/>
  <c r="AP36" i="3"/>
  <c r="AO36" i="3"/>
  <c r="AN36" i="3"/>
  <c r="AM36" i="3"/>
  <c r="AL36" i="3"/>
  <c r="AK36" i="3"/>
  <c r="AJ36" i="3"/>
  <c r="AI36" i="3"/>
  <c r="T36" i="3"/>
  <c r="S36" i="3"/>
  <c r="H36" i="3"/>
  <c r="AV35" i="3"/>
  <c r="AU35" i="3"/>
  <c r="AS35" i="3"/>
  <c r="AQ35" i="3"/>
  <c r="AP35" i="3"/>
  <c r="AO35" i="3"/>
  <c r="AN35" i="3"/>
  <c r="AM35" i="3"/>
  <c r="AL35" i="3"/>
  <c r="AK35" i="3"/>
  <c r="AJ35" i="3"/>
  <c r="AI35" i="3"/>
  <c r="T35" i="3"/>
  <c r="AY35" i="3" s="1"/>
  <c r="S35" i="3"/>
  <c r="H35" i="3"/>
  <c r="AV34" i="3"/>
  <c r="AU34" i="3"/>
  <c r="AS34" i="3"/>
  <c r="AQ34" i="3"/>
  <c r="AP34" i="3"/>
  <c r="AO34" i="3"/>
  <c r="AN34" i="3"/>
  <c r="AM34" i="3"/>
  <c r="AL34" i="3"/>
  <c r="AK34" i="3"/>
  <c r="AJ34" i="3"/>
  <c r="AI34" i="3"/>
  <c r="T34" i="3"/>
  <c r="AZ34" i="3" s="1"/>
  <c r="S34" i="3"/>
  <c r="H34" i="3"/>
  <c r="AV33" i="3"/>
  <c r="AU33" i="3"/>
  <c r="AS33" i="3"/>
  <c r="AQ33" i="3"/>
  <c r="AP33" i="3"/>
  <c r="AO33" i="3"/>
  <c r="AN33" i="3"/>
  <c r="AM33" i="3"/>
  <c r="AL33" i="3"/>
  <c r="AK33" i="3"/>
  <c r="AJ33" i="3"/>
  <c r="BE33" i="3" s="1"/>
  <c r="AI33" i="3"/>
  <c r="T33" i="3"/>
  <c r="AZ33" i="3" s="1"/>
  <c r="S33" i="3"/>
  <c r="H33" i="3"/>
  <c r="AV32" i="3"/>
  <c r="AU32" i="3"/>
  <c r="AS32" i="3"/>
  <c r="AQ32" i="3"/>
  <c r="AP32" i="3"/>
  <c r="AO32" i="3"/>
  <c r="AN32" i="3"/>
  <c r="AM32" i="3"/>
  <c r="AW32" i="3" s="1"/>
  <c r="AX32" i="3" s="1"/>
  <c r="AL32" i="3"/>
  <c r="AK32" i="3"/>
  <c r="AJ32" i="3"/>
  <c r="BE32" i="3" s="1"/>
  <c r="AI32" i="3"/>
  <c r="T32" i="3"/>
  <c r="AZ32" i="3" s="1"/>
  <c r="S32" i="3"/>
  <c r="H32" i="3"/>
  <c r="AV31" i="3"/>
  <c r="AU31" i="3"/>
  <c r="AS31" i="3"/>
  <c r="AQ31" i="3"/>
  <c r="AP31" i="3"/>
  <c r="AO31" i="3"/>
  <c r="AN31" i="3"/>
  <c r="AM31" i="3"/>
  <c r="AL31" i="3"/>
  <c r="AK31" i="3"/>
  <c r="AJ31" i="3"/>
  <c r="AI31" i="3"/>
  <c r="T31" i="3"/>
  <c r="AZ31" i="3" s="1"/>
  <c r="S31" i="3"/>
  <c r="H31" i="3"/>
  <c r="AV30" i="3"/>
  <c r="AU30" i="3"/>
  <c r="AS30" i="3"/>
  <c r="AQ30" i="3"/>
  <c r="AP30" i="3"/>
  <c r="AO30" i="3"/>
  <c r="AN30" i="3"/>
  <c r="AM30" i="3"/>
  <c r="AL30" i="3"/>
  <c r="AK30" i="3"/>
  <c r="AJ30" i="3"/>
  <c r="AI30" i="3"/>
  <c r="T30" i="3"/>
  <c r="S30" i="3"/>
  <c r="H30" i="3"/>
  <c r="BC30" i="3" s="1"/>
  <c r="AV29" i="3"/>
  <c r="AU29" i="3"/>
  <c r="AS29" i="3"/>
  <c r="AQ29" i="3"/>
  <c r="AP29" i="3"/>
  <c r="AO29" i="3"/>
  <c r="AN29" i="3"/>
  <c r="AM29" i="3"/>
  <c r="AL29" i="3"/>
  <c r="AK29" i="3"/>
  <c r="AJ29" i="3"/>
  <c r="BE29" i="3" s="1"/>
  <c r="AI29" i="3"/>
  <c r="T29" i="3"/>
  <c r="S29" i="3"/>
  <c r="H29" i="3"/>
  <c r="AV28" i="3"/>
  <c r="AU28" i="3"/>
  <c r="AS28" i="3"/>
  <c r="AQ28" i="3"/>
  <c r="AP28" i="3"/>
  <c r="AO28" i="3"/>
  <c r="AN28" i="3"/>
  <c r="AM28" i="3"/>
  <c r="AL28" i="3"/>
  <c r="AK28" i="3"/>
  <c r="AJ28" i="3"/>
  <c r="AI28" i="3"/>
  <c r="T28" i="3"/>
  <c r="S28" i="3"/>
  <c r="H28" i="3"/>
  <c r="AV27" i="3"/>
  <c r="AU27" i="3"/>
  <c r="AS27" i="3"/>
  <c r="AQ27" i="3"/>
  <c r="AP27" i="3"/>
  <c r="AO27" i="3"/>
  <c r="AN27" i="3"/>
  <c r="AM27" i="3"/>
  <c r="AL27" i="3"/>
  <c r="AK27" i="3"/>
  <c r="AJ27" i="3"/>
  <c r="AI27" i="3"/>
  <c r="T27" i="3"/>
  <c r="AY27" i="3" s="1"/>
  <c r="S27" i="3"/>
  <c r="H27" i="3"/>
  <c r="AV26" i="3"/>
  <c r="AU26" i="3"/>
  <c r="AS26" i="3"/>
  <c r="AQ26" i="3"/>
  <c r="AP26" i="3"/>
  <c r="AO26" i="3"/>
  <c r="AN26" i="3"/>
  <c r="AM26" i="3"/>
  <c r="AL26" i="3"/>
  <c r="AK26" i="3"/>
  <c r="AJ26" i="3"/>
  <c r="AI26" i="3"/>
  <c r="T26" i="3"/>
  <c r="AZ26" i="3" s="1"/>
  <c r="S26" i="3"/>
  <c r="H26" i="3"/>
  <c r="AV25" i="3"/>
  <c r="AU25" i="3"/>
  <c r="AS25" i="3"/>
  <c r="AQ25" i="3"/>
  <c r="AP25" i="3"/>
  <c r="AO25" i="3"/>
  <c r="AN25" i="3"/>
  <c r="AM25" i="3"/>
  <c r="AL25" i="3"/>
  <c r="AK25" i="3"/>
  <c r="AJ25" i="3"/>
  <c r="BE25" i="3" s="1"/>
  <c r="AI25" i="3"/>
  <c r="T25" i="3"/>
  <c r="AZ25" i="3" s="1"/>
  <c r="S25" i="3"/>
  <c r="H25" i="3"/>
  <c r="AV24" i="3"/>
  <c r="AU24" i="3"/>
  <c r="AS24" i="3"/>
  <c r="AQ24" i="3"/>
  <c r="AP24" i="3"/>
  <c r="AO24" i="3"/>
  <c r="AN24" i="3"/>
  <c r="AM24" i="3"/>
  <c r="AW24" i="3" s="1"/>
  <c r="AX24" i="3" s="1"/>
  <c r="AL24" i="3"/>
  <c r="AK24" i="3"/>
  <c r="AJ24" i="3"/>
  <c r="BE24" i="3" s="1"/>
  <c r="AI24" i="3"/>
  <c r="T24" i="3"/>
  <c r="AZ24" i="3" s="1"/>
  <c r="S24" i="3"/>
  <c r="H24" i="3"/>
  <c r="AV23" i="3"/>
  <c r="AU23" i="3"/>
  <c r="AS23" i="3"/>
  <c r="AQ23" i="3"/>
  <c r="AP23" i="3"/>
  <c r="AO23" i="3"/>
  <c r="AN23" i="3"/>
  <c r="AM23" i="3"/>
  <c r="AL23" i="3"/>
  <c r="AK23" i="3"/>
  <c r="AJ23" i="3"/>
  <c r="AI23" i="3"/>
  <c r="T23" i="3"/>
  <c r="AZ23" i="3" s="1"/>
  <c r="S23" i="3"/>
  <c r="H23" i="3"/>
  <c r="AV22" i="3"/>
  <c r="AU22" i="3"/>
  <c r="AS22" i="3"/>
  <c r="AQ22" i="3"/>
  <c r="AP22" i="3"/>
  <c r="AO22" i="3"/>
  <c r="AN22" i="3"/>
  <c r="AM22" i="3"/>
  <c r="AL22" i="3"/>
  <c r="AK22" i="3"/>
  <c r="AJ22" i="3"/>
  <c r="AI22" i="3"/>
  <c r="T22" i="3"/>
  <c r="S22" i="3"/>
  <c r="H22" i="3"/>
  <c r="BC22" i="3" s="1"/>
  <c r="AV21" i="3"/>
  <c r="AU21" i="3"/>
  <c r="AS21" i="3"/>
  <c r="AQ21" i="3"/>
  <c r="AP21" i="3"/>
  <c r="AO21" i="3"/>
  <c r="AN21" i="3"/>
  <c r="AM21" i="3"/>
  <c r="AL21" i="3"/>
  <c r="AK21" i="3"/>
  <c r="AJ21" i="3"/>
  <c r="BE21" i="3" s="1"/>
  <c r="AI21" i="3"/>
  <c r="T21" i="3"/>
  <c r="S21" i="3"/>
  <c r="H21" i="3"/>
  <c r="AV20" i="3"/>
  <c r="AU20" i="3"/>
  <c r="AS20" i="3"/>
  <c r="AQ20" i="3"/>
  <c r="AP20" i="3"/>
  <c r="AO20" i="3"/>
  <c r="AN20" i="3"/>
  <c r="AM20" i="3"/>
  <c r="AL20" i="3"/>
  <c r="AK20" i="3"/>
  <c r="AJ20" i="3"/>
  <c r="AI20" i="3"/>
  <c r="T20" i="3"/>
  <c r="S20" i="3"/>
  <c r="H20" i="3"/>
  <c r="AV19" i="3"/>
  <c r="AU19" i="3"/>
  <c r="AS19" i="3"/>
  <c r="AQ19" i="3"/>
  <c r="AP19" i="3"/>
  <c r="AO19" i="3"/>
  <c r="AN19" i="3"/>
  <c r="AM19" i="3"/>
  <c r="AL19" i="3"/>
  <c r="AK19" i="3"/>
  <c r="AJ19" i="3"/>
  <c r="AI19" i="3"/>
  <c r="T19" i="3"/>
  <c r="AY19" i="3" s="1"/>
  <c r="S19" i="3"/>
  <c r="H19" i="3"/>
  <c r="I19" i="3" s="1"/>
  <c r="AV18" i="3"/>
  <c r="AU18" i="3"/>
  <c r="AS18" i="3"/>
  <c r="AQ18" i="3"/>
  <c r="AP18" i="3"/>
  <c r="AO18" i="3"/>
  <c r="AN18" i="3"/>
  <c r="AM18" i="3"/>
  <c r="AL18" i="3"/>
  <c r="AK18" i="3"/>
  <c r="AJ18" i="3"/>
  <c r="AI18" i="3"/>
  <c r="T18" i="3"/>
  <c r="AZ18" i="3" s="1"/>
  <c r="S18" i="3"/>
  <c r="H18" i="3"/>
  <c r="AV17" i="3"/>
  <c r="AU17" i="3"/>
  <c r="AS17" i="3"/>
  <c r="AQ17" i="3"/>
  <c r="AP17" i="3"/>
  <c r="AO17" i="3"/>
  <c r="AN17" i="3"/>
  <c r="AM17" i="3"/>
  <c r="AL17" i="3"/>
  <c r="AK17" i="3"/>
  <c r="AJ17" i="3"/>
  <c r="BE17" i="3" s="1"/>
  <c r="AI17" i="3"/>
  <c r="T17" i="3"/>
  <c r="AZ17" i="3" s="1"/>
  <c r="S17" i="3"/>
  <c r="H17" i="3"/>
  <c r="AV16" i="3"/>
  <c r="AU16" i="3"/>
  <c r="AS16" i="3"/>
  <c r="AQ16" i="3"/>
  <c r="AP16" i="3"/>
  <c r="AO16" i="3"/>
  <c r="AN16" i="3"/>
  <c r="AM16" i="3"/>
  <c r="AL16" i="3"/>
  <c r="AK16" i="3"/>
  <c r="AJ16" i="3"/>
  <c r="BE16" i="3" s="1"/>
  <c r="AI16" i="3"/>
  <c r="T16" i="3"/>
  <c r="AZ16" i="3" s="1"/>
  <c r="S16" i="3"/>
  <c r="H16" i="3"/>
  <c r="AV15" i="3"/>
  <c r="AU15" i="3"/>
  <c r="AS15" i="3"/>
  <c r="AQ15" i="3"/>
  <c r="AP15" i="3"/>
  <c r="AO15" i="3"/>
  <c r="AN15" i="3"/>
  <c r="AM15" i="3"/>
  <c r="AL15" i="3"/>
  <c r="AK15" i="3"/>
  <c r="AJ15" i="3"/>
  <c r="AI15" i="3"/>
  <c r="T15" i="3"/>
  <c r="AZ15" i="3" s="1"/>
  <c r="S15" i="3"/>
  <c r="H15" i="3"/>
  <c r="AV14" i="3"/>
  <c r="AU14" i="3"/>
  <c r="AS14" i="3"/>
  <c r="AQ14" i="3"/>
  <c r="AP14" i="3"/>
  <c r="AO14" i="3"/>
  <c r="AN14" i="3"/>
  <c r="AM14" i="3"/>
  <c r="AL14" i="3"/>
  <c r="AK14" i="3"/>
  <c r="AJ14" i="3"/>
  <c r="AI14" i="3"/>
  <c r="T14" i="3"/>
  <c r="S14" i="3"/>
  <c r="H14" i="3"/>
  <c r="BC14" i="3" s="1"/>
  <c r="AV13" i="3"/>
  <c r="AU13" i="3"/>
  <c r="AS13" i="3"/>
  <c r="AQ13" i="3"/>
  <c r="AP13" i="3"/>
  <c r="AO13" i="3"/>
  <c r="AN13" i="3"/>
  <c r="AM13" i="3"/>
  <c r="AL13" i="3"/>
  <c r="AK13" i="3"/>
  <c r="AJ13" i="3"/>
  <c r="BE13" i="3" s="1"/>
  <c r="AI13" i="3"/>
  <c r="T13" i="3"/>
  <c r="S13" i="3"/>
  <c r="H13" i="3"/>
  <c r="BC13" i="3" s="1"/>
  <c r="AV12" i="3"/>
  <c r="AU12" i="3"/>
  <c r="AS12" i="3"/>
  <c r="AQ12" i="3"/>
  <c r="AP12" i="3"/>
  <c r="AO12" i="3"/>
  <c r="AN12" i="3"/>
  <c r="AM12" i="3"/>
  <c r="AL12" i="3"/>
  <c r="AK12" i="3"/>
  <c r="AJ12" i="3"/>
  <c r="AI12" i="3"/>
  <c r="T12" i="3"/>
  <c r="S12" i="3"/>
  <c r="H12" i="3"/>
  <c r="AV11" i="3"/>
  <c r="AU11" i="3"/>
  <c r="AS11" i="3"/>
  <c r="AQ11" i="3"/>
  <c r="AP11" i="3"/>
  <c r="AO11" i="3"/>
  <c r="AN11" i="3"/>
  <c r="AM11" i="3"/>
  <c r="AL11" i="3"/>
  <c r="AK11" i="3"/>
  <c r="AJ11" i="3"/>
  <c r="AI11" i="3"/>
  <c r="T11" i="3"/>
  <c r="S11" i="3"/>
  <c r="H11" i="3"/>
  <c r="I11" i="3" s="1"/>
  <c r="AV10" i="3"/>
  <c r="AU10" i="3"/>
  <c r="AS10" i="3"/>
  <c r="AQ10" i="3"/>
  <c r="AP10" i="3"/>
  <c r="AO10" i="3"/>
  <c r="AN10" i="3"/>
  <c r="AM10" i="3"/>
  <c r="AL10" i="3"/>
  <c r="AK10" i="3"/>
  <c r="AJ10" i="3"/>
  <c r="AI10" i="3"/>
  <c r="T10" i="3"/>
  <c r="AZ10" i="3" s="1"/>
  <c r="S10" i="3"/>
  <c r="H10" i="3"/>
  <c r="AV9" i="3"/>
  <c r="AU9" i="3"/>
  <c r="AS9" i="3"/>
  <c r="AQ9" i="3"/>
  <c r="AP9" i="3"/>
  <c r="AO9" i="3"/>
  <c r="AN9" i="3"/>
  <c r="AM9" i="3"/>
  <c r="AL9" i="3"/>
  <c r="AK9" i="3"/>
  <c r="AJ9" i="3"/>
  <c r="BE9" i="3" s="1"/>
  <c r="AI9" i="3"/>
  <c r="T9" i="3"/>
  <c r="AZ9" i="3" s="1"/>
  <c r="S9" i="3"/>
  <c r="H9" i="3"/>
  <c r="AV8" i="3"/>
  <c r="AU8" i="3"/>
  <c r="AS8" i="3"/>
  <c r="AQ8" i="3"/>
  <c r="AP8" i="3"/>
  <c r="AO8" i="3"/>
  <c r="AN8" i="3"/>
  <c r="AM8" i="3"/>
  <c r="AW8" i="3" s="1"/>
  <c r="AX8" i="3" s="1"/>
  <c r="AL8" i="3"/>
  <c r="AK8" i="3"/>
  <c r="AJ8" i="3"/>
  <c r="BE8" i="3" s="1"/>
  <c r="AI8" i="3"/>
  <c r="T8" i="3"/>
  <c r="AZ8" i="3" s="1"/>
  <c r="S8" i="3"/>
  <c r="H8" i="3"/>
  <c r="AV7" i="3"/>
  <c r="AU7" i="3"/>
  <c r="AS7" i="3"/>
  <c r="AQ7" i="3"/>
  <c r="AP7" i="3"/>
  <c r="AO7" i="3"/>
  <c r="AN7" i="3"/>
  <c r="AM7" i="3"/>
  <c r="AL7" i="3"/>
  <c r="AK7" i="3"/>
  <c r="AJ7" i="3"/>
  <c r="AI7" i="3"/>
  <c r="T7" i="3"/>
  <c r="AZ7" i="3" s="1"/>
  <c r="S7" i="3"/>
  <c r="H7" i="3"/>
  <c r="AV6" i="3"/>
  <c r="AU6" i="3"/>
  <c r="AS6" i="3"/>
  <c r="AQ6" i="3"/>
  <c r="AP6" i="3"/>
  <c r="AO6" i="3"/>
  <c r="AN6" i="3"/>
  <c r="AM6" i="3"/>
  <c r="AL6" i="3"/>
  <c r="AK6" i="3"/>
  <c r="AJ6" i="3"/>
  <c r="AI6" i="3"/>
  <c r="T6" i="3"/>
  <c r="S6" i="3"/>
  <c r="H6" i="3"/>
  <c r="BC6" i="3" s="1"/>
  <c r="AV5" i="3"/>
  <c r="AU5" i="3"/>
  <c r="AS5" i="3"/>
  <c r="AQ5" i="3"/>
  <c r="AP5" i="3"/>
  <c r="AO5" i="3"/>
  <c r="AN5" i="3"/>
  <c r="AM5" i="3"/>
  <c r="AL5" i="3"/>
  <c r="AK5" i="3"/>
  <c r="AJ5" i="3"/>
  <c r="BE5" i="3" s="1"/>
  <c r="AI5" i="3"/>
  <c r="T5" i="3"/>
  <c r="S5" i="3"/>
  <c r="H5" i="3"/>
  <c r="BC5" i="3" s="1"/>
  <c r="AV4" i="3"/>
  <c r="AU4" i="3"/>
  <c r="AS4" i="3"/>
  <c r="AQ4" i="3"/>
  <c r="AP4" i="3"/>
  <c r="AO4" i="3"/>
  <c r="AN4" i="3"/>
  <c r="AM4" i="3"/>
  <c r="AL4" i="3"/>
  <c r="AK4" i="3"/>
  <c r="AJ4" i="3"/>
  <c r="AI4" i="3"/>
  <c r="T4" i="3"/>
  <c r="S4" i="3"/>
  <c r="H4" i="3"/>
  <c r="BE11" i="3" l="1"/>
  <c r="BE19" i="3"/>
  <c r="AW22" i="3"/>
  <c r="AX22" i="3" s="1"/>
  <c r="BE27" i="3"/>
  <c r="AW30" i="3"/>
  <c r="BE35" i="3"/>
  <c r="AW5" i="3"/>
  <c r="AX5" i="3" s="1"/>
  <c r="BE10" i="3"/>
  <c r="AW13" i="3"/>
  <c r="AX13" i="3" s="1"/>
  <c r="BE18" i="3"/>
  <c r="BE26" i="3"/>
  <c r="BE4" i="3"/>
  <c r="AW7" i="3"/>
  <c r="AX7" i="3" s="1"/>
  <c r="BE12" i="3"/>
  <c r="AW15" i="3"/>
  <c r="AX15" i="3" s="1"/>
  <c r="AW23" i="3"/>
  <c r="AX23" i="3" s="1"/>
  <c r="AW31" i="3"/>
  <c r="AX31" i="3" s="1"/>
  <c r="BE36" i="3"/>
  <c r="AW6" i="3"/>
  <c r="AX6" i="3" s="1"/>
  <c r="AW14" i="3"/>
  <c r="BE34" i="3"/>
  <c r="AX14" i="3"/>
  <c r="AX30" i="3"/>
  <c r="BE22" i="3"/>
  <c r="BE30" i="3"/>
  <c r="AW16" i="3"/>
  <c r="AX16" i="3" s="1"/>
  <c r="BE37" i="3"/>
  <c r="BC4" i="3"/>
  <c r="I4" i="3"/>
  <c r="AZ4" i="3"/>
  <c r="AY4" i="3"/>
  <c r="AW4" i="3"/>
  <c r="AX4" i="3" s="1"/>
  <c r="AZ5" i="3"/>
  <c r="AY5" i="3"/>
  <c r="AZ6" i="3"/>
  <c r="AY6" i="3"/>
  <c r="BA6" i="3" s="1"/>
  <c r="BE6" i="3"/>
  <c r="I7" i="3"/>
  <c r="BC7" i="3"/>
  <c r="BE7" i="3"/>
  <c r="I8" i="3"/>
  <c r="BC8" i="3"/>
  <c r="I9" i="3"/>
  <c r="BC9" i="3"/>
  <c r="AW9" i="3"/>
  <c r="AX9" i="3" s="1"/>
  <c r="BC10" i="3"/>
  <c r="I10" i="3"/>
  <c r="AW10" i="3"/>
  <c r="AX10" i="3" s="1"/>
  <c r="AZ11" i="3"/>
  <c r="AY11" i="3"/>
  <c r="AW11" i="3"/>
  <c r="AX11" i="3" s="1"/>
  <c r="BC12" i="3"/>
  <c r="I12" i="3"/>
  <c r="AZ12" i="3"/>
  <c r="AY12" i="3"/>
  <c r="AW12" i="3"/>
  <c r="AX12" i="3" s="1"/>
  <c r="AZ13" i="3"/>
  <c r="AY13" i="3"/>
  <c r="AZ14" i="3"/>
  <c r="AY14" i="3"/>
  <c r="BA14" i="3" s="1"/>
  <c r="BB14" i="3" s="1"/>
  <c r="BE14" i="3"/>
  <c r="I15" i="3"/>
  <c r="BC15" i="3"/>
  <c r="BE15" i="3"/>
  <c r="I16" i="3"/>
  <c r="BC16" i="3"/>
  <c r="I17" i="3"/>
  <c r="BC17" i="3"/>
  <c r="AW17" i="3"/>
  <c r="AX17" i="3" s="1"/>
  <c r="BC18" i="3"/>
  <c r="I18" i="3"/>
  <c r="AW18" i="3"/>
  <c r="AX18" i="3" s="1"/>
  <c r="AW19" i="3"/>
  <c r="AX19" i="3" s="1"/>
  <c r="BC20" i="3"/>
  <c r="I20" i="3"/>
  <c r="AZ20" i="3"/>
  <c r="AY20" i="3"/>
  <c r="BE20" i="3"/>
  <c r="AW20" i="3"/>
  <c r="AX20" i="3" s="1"/>
  <c r="BC21" i="3"/>
  <c r="I21" i="3"/>
  <c r="AZ21" i="3"/>
  <c r="AY21" i="3"/>
  <c r="AW21" i="3"/>
  <c r="AX21" i="3" s="1"/>
  <c r="AZ22" i="3"/>
  <c r="AY22" i="3"/>
  <c r="BA22" i="3" s="1"/>
  <c r="I23" i="3"/>
  <c r="BC23" i="3"/>
  <c r="BE23" i="3"/>
  <c r="I24" i="3"/>
  <c r="BC24" i="3"/>
  <c r="I25" i="3"/>
  <c r="BC25" i="3"/>
  <c r="AW25" i="3"/>
  <c r="AX25" i="3" s="1"/>
  <c r="BC26" i="3"/>
  <c r="I26" i="3"/>
  <c r="AW26" i="3"/>
  <c r="AX26" i="3" s="1"/>
  <c r="BC27" i="3"/>
  <c r="I27" i="3"/>
  <c r="AW27" i="3"/>
  <c r="AX27" i="3" s="1"/>
  <c r="BC28" i="3"/>
  <c r="I28" i="3"/>
  <c r="AZ28" i="3"/>
  <c r="AY28" i="3"/>
  <c r="BA28" i="3" s="1"/>
  <c r="BB28" i="3" s="1"/>
  <c r="BE28" i="3"/>
  <c r="AW28" i="3"/>
  <c r="AX28" i="3" s="1"/>
  <c r="BC29" i="3"/>
  <c r="I29" i="3"/>
  <c r="AZ29" i="3"/>
  <c r="AY29" i="3"/>
  <c r="BA29" i="3" s="1"/>
  <c r="AW29" i="3"/>
  <c r="AX29" i="3" s="1"/>
  <c r="AZ30" i="3"/>
  <c r="AY30" i="3"/>
  <c r="I31" i="3"/>
  <c r="BC31" i="3"/>
  <c r="BE31" i="3"/>
  <c r="I32" i="3"/>
  <c r="BC32" i="3"/>
  <c r="BC33" i="3"/>
  <c r="I33" i="3"/>
  <c r="AW33" i="3"/>
  <c r="AX33" i="3" s="1"/>
  <c r="BC34" i="3"/>
  <c r="I34" i="3"/>
  <c r="AW34" i="3"/>
  <c r="AX34" i="3" s="1"/>
  <c r="BC35" i="3"/>
  <c r="I35" i="3"/>
  <c r="AW35" i="3"/>
  <c r="AX35" i="3" s="1"/>
  <c r="BC36" i="3"/>
  <c r="I36" i="3"/>
  <c r="AZ36" i="3"/>
  <c r="AY36" i="3"/>
  <c r="AW36" i="3"/>
  <c r="AX36" i="3" s="1"/>
  <c r="BC37" i="3"/>
  <c r="I37" i="3"/>
  <c r="AW37" i="3"/>
  <c r="AX37" i="3" s="1"/>
  <c r="BA13" i="3"/>
  <c r="BA21" i="3"/>
  <c r="BA4" i="3"/>
  <c r="I5" i="3"/>
  <c r="I13" i="3"/>
  <c r="AZ19" i="3"/>
  <c r="BA19" i="3" s="1"/>
  <c r="I14" i="3"/>
  <c r="I22" i="3"/>
  <c r="I30" i="3"/>
  <c r="AY37" i="3"/>
  <c r="BA37" i="3" s="1"/>
  <c r="AY7" i="3"/>
  <c r="BA7" i="3" s="1"/>
  <c r="BC11" i="3"/>
  <c r="AY15" i="3"/>
  <c r="BA15" i="3" s="1"/>
  <c r="BC19" i="3"/>
  <c r="AY23" i="3"/>
  <c r="BA23" i="3" s="1"/>
  <c r="AY31" i="3"/>
  <c r="BA31" i="3" s="1"/>
  <c r="AY8" i="3"/>
  <c r="BA8" i="3" s="1"/>
  <c r="AY16" i="3"/>
  <c r="BA16" i="3" s="1"/>
  <c r="AY24" i="3"/>
  <c r="BA24" i="3" s="1"/>
  <c r="AY32" i="3"/>
  <c r="BA32" i="3" s="1"/>
  <c r="AY9" i="3"/>
  <c r="BA9" i="3" s="1"/>
  <c r="AY17" i="3"/>
  <c r="BA17" i="3" s="1"/>
  <c r="AY25" i="3"/>
  <c r="BA25" i="3" s="1"/>
  <c r="AY33" i="3"/>
  <c r="BA33" i="3" s="1"/>
  <c r="AZ27" i="3"/>
  <c r="BA27" i="3" s="1"/>
  <c r="AZ35" i="3"/>
  <c r="BA35" i="3" s="1"/>
  <c r="I6" i="3"/>
  <c r="AY10" i="3"/>
  <c r="BA10" i="3" s="1"/>
  <c r="AY18" i="3"/>
  <c r="BA18" i="3" s="1"/>
  <c r="AY26" i="3"/>
  <c r="BA26" i="3" s="1"/>
  <c r="AY34" i="3"/>
  <c r="BA34" i="3" s="1"/>
  <c r="BA36" i="3" l="1"/>
  <c r="BA30" i="3"/>
  <c r="BD28" i="3"/>
  <c r="BA11" i="3"/>
  <c r="BB11" i="3" s="1"/>
  <c r="BA5" i="3"/>
  <c r="BD14" i="3"/>
  <c r="BA12" i="3"/>
  <c r="BA20" i="3"/>
  <c r="BD35" i="3"/>
  <c r="BB35" i="3"/>
  <c r="BD10" i="3"/>
  <c r="BB10" i="3"/>
  <c r="BB32" i="3"/>
  <c r="BD32" i="3"/>
  <c r="BB15" i="3"/>
  <c r="BD15" i="3"/>
  <c r="BB24" i="3"/>
  <c r="BD24" i="3"/>
  <c r="BB7" i="3"/>
  <c r="BD7" i="3"/>
  <c r="BD6" i="3"/>
  <c r="BB6" i="3"/>
  <c r="BB9" i="3"/>
  <c r="BD9" i="3"/>
  <c r="BB16" i="3"/>
  <c r="BD16" i="3"/>
  <c r="BD37" i="3"/>
  <c r="BB37" i="3"/>
  <c r="BD36" i="3"/>
  <c r="BB36" i="3"/>
  <c r="BD27" i="3"/>
  <c r="BB27" i="3"/>
  <c r="BB8" i="3"/>
  <c r="BD8" i="3"/>
  <c r="BD19" i="3"/>
  <c r="BB19" i="3"/>
  <c r="BD29" i="3"/>
  <c r="BB29" i="3"/>
  <c r="BD21" i="3"/>
  <c r="BB21" i="3"/>
  <c r="BD33" i="3"/>
  <c r="BB33" i="3"/>
  <c r="BB31" i="3"/>
  <c r="BD31" i="3"/>
  <c r="BD5" i="3"/>
  <c r="BB5" i="3"/>
  <c r="BD13" i="3"/>
  <c r="BB13" i="3"/>
  <c r="BD18" i="3"/>
  <c r="BB18" i="3"/>
  <c r="BD34" i="3"/>
  <c r="BB34" i="3"/>
  <c r="BD25" i="3"/>
  <c r="BB25" i="3"/>
  <c r="BB23" i="3"/>
  <c r="BD23" i="3"/>
  <c r="BD4" i="3"/>
  <c r="BB4" i="3"/>
  <c r="BD30" i="3"/>
  <c r="BB30" i="3"/>
  <c r="BD26" i="3"/>
  <c r="BB26" i="3"/>
  <c r="BB17" i="3"/>
  <c r="BD17" i="3"/>
  <c r="BD22" i="3"/>
  <c r="BB22" i="3"/>
  <c r="BD11" i="3" l="1"/>
  <c r="BB20" i="3"/>
  <c r="BD20" i="3"/>
  <c r="BD12" i="3"/>
  <c r="BB12" i="3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T59" i="2"/>
  <c r="AZ59" i="2" s="1"/>
  <c r="S59" i="2"/>
  <c r="H59" i="2"/>
  <c r="I59" i="2" s="1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T58" i="2"/>
  <c r="AZ58" i="2" s="1"/>
  <c r="S58" i="2"/>
  <c r="H58" i="2"/>
  <c r="I58" i="2" s="1"/>
  <c r="AV57" i="2"/>
  <c r="AU57" i="2"/>
  <c r="AT57" i="2"/>
  <c r="AS57" i="2"/>
  <c r="AR57" i="2"/>
  <c r="AQ57" i="2"/>
  <c r="BG57" i="2" s="1"/>
  <c r="AP57" i="2"/>
  <c r="AO57" i="2"/>
  <c r="AN57" i="2"/>
  <c r="AM57" i="2"/>
  <c r="AL57" i="2"/>
  <c r="AK57" i="2"/>
  <c r="AJ57" i="2"/>
  <c r="BE57" i="2" s="1"/>
  <c r="AI57" i="2"/>
  <c r="T57" i="2"/>
  <c r="S57" i="2"/>
  <c r="H57" i="2"/>
  <c r="I57" i="2" s="1"/>
  <c r="AV56" i="2"/>
  <c r="AU56" i="2"/>
  <c r="AT56" i="2"/>
  <c r="AS56" i="2"/>
  <c r="AR56" i="2"/>
  <c r="AQ56" i="2"/>
  <c r="BG56" i="2" s="1"/>
  <c r="AP56" i="2"/>
  <c r="AO56" i="2"/>
  <c r="AN56" i="2"/>
  <c r="AM56" i="2"/>
  <c r="AL56" i="2"/>
  <c r="AK56" i="2"/>
  <c r="AJ56" i="2"/>
  <c r="BE56" i="2" s="1"/>
  <c r="AI56" i="2"/>
  <c r="T56" i="2"/>
  <c r="S56" i="2"/>
  <c r="H56" i="2"/>
  <c r="I56" i="2" s="1"/>
  <c r="AV55" i="2"/>
  <c r="AU55" i="2"/>
  <c r="AT55" i="2"/>
  <c r="AS55" i="2"/>
  <c r="AR55" i="2"/>
  <c r="AQ55" i="2"/>
  <c r="BG55" i="2" s="1"/>
  <c r="AP55" i="2"/>
  <c r="AO55" i="2"/>
  <c r="AN55" i="2"/>
  <c r="AM55" i="2"/>
  <c r="AL55" i="2"/>
  <c r="AK55" i="2"/>
  <c r="AJ55" i="2"/>
  <c r="AI55" i="2"/>
  <c r="T55" i="2"/>
  <c r="S55" i="2"/>
  <c r="H55" i="2"/>
  <c r="I55" i="2" s="1"/>
  <c r="AV54" i="2"/>
  <c r="AU54" i="2"/>
  <c r="AT54" i="2"/>
  <c r="AS54" i="2"/>
  <c r="AR54" i="2"/>
  <c r="AQ54" i="2"/>
  <c r="BG54" i="2" s="1"/>
  <c r="AP54" i="2"/>
  <c r="AO54" i="2"/>
  <c r="AN54" i="2"/>
  <c r="AM54" i="2"/>
  <c r="AL54" i="2"/>
  <c r="AK54" i="2"/>
  <c r="AJ54" i="2"/>
  <c r="BE54" i="2" s="1"/>
  <c r="AI54" i="2"/>
  <c r="T54" i="2"/>
  <c r="S54" i="2"/>
  <c r="H54" i="2"/>
  <c r="I54" i="2" s="1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T53" i="2"/>
  <c r="S53" i="2"/>
  <c r="H53" i="2"/>
  <c r="I53" i="2" s="1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T52" i="2"/>
  <c r="S52" i="2"/>
  <c r="H52" i="2"/>
  <c r="I52" i="2" s="1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T51" i="2"/>
  <c r="S51" i="2"/>
  <c r="H51" i="2"/>
  <c r="I51" i="2" s="1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T50" i="2"/>
  <c r="S50" i="2"/>
  <c r="H50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T49" i="2"/>
  <c r="AZ49" i="2" s="1"/>
  <c r="S49" i="2"/>
  <c r="H49" i="2"/>
  <c r="I49" i="2" s="1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T48" i="2"/>
  <c r="S48" i="2"/>
  <c r="H48" i="2"/>
  <c r="AV47" i="2"/>
  <c r="AU47" i="2"/>
  <c r="AT47" i="2"/>
  <c r="AS47" i="2"/>
  <c r="AR47" i="2"/>
  <c r="AQ47" i="2"/>
  <c r="BG47" i="2" s="1"/>
  <c r="AP47" i="2"/>
  <c r="AO47" i="2"/>
  <c r="AN47" i="2"/>
  <c r="AM47" i="2"/>
  <c r="AL47" i="2"/>
  <c r="AK47" i="2"/>
  <c r="AJ47" i="2"/>
  <c r="AI47" i="2"/>
  <c r="T47" i="2"/>
  <c r="AZ47" i="2" s="1"/>
  <c r="S47" i="2"/>
  <c r="H47" i="2"/>
  <c r="I47" i="2" s="1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T46" i="2"/>
  <c r="S46" i="2"/>
  <c r="H46" i="2"/>
  <c r="I46" i="2" s="1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T45" i="2"/>
  <c r="AZ45" i="2" s="1"/>
  <c r="S45" i="2"/>
  <c r="H45" i="2"/>
  <c r="I45" i="2" s="1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T44" i="2"/>
  <c r="S44" i="2"/>
  <c r="H44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T43" i="2"/>
  <c r="AZ43" i="2" s="1"/>
  <c r="S43" i="2"/>
  <c r="H43" i="2"/>
  <c r="I43" i="2" s="1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T42" i="2"/>
  <c r="S42" i="2"/>
  <c r="H42" i="2"/>
  <c r="I42" i="2" s="1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T41" i="2"/>
  <c r="AZ41" i="2" s="1"/>
  <c r="S41" i="2"/>
  <c r="H41" i="2"/>
  <c r="I41" i="2" s="1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T39" i="2"/>
  <c r="S39" i="2"/>
  <c r="H39" i="2"/>
  <c r="AV38" i="2"/>
  <c r="AU38" i="2"/>
  <c r="AT38" i="2"/>
  <c r="AS38" i="2"/>
  <c r="AR38" i="2"/>
  <c r="AQ38" i="2"/>
  <c r="BG38" i="2" s="1"/>
  <c r="AP38" i="2"/>
  <c r="AO38" i="2"/>
  <c r="AN38" i="2"/>
  <c r="AM38" i="2"/>
  <c r="AL38" i="2"/>
  <c r="AK38" i="2"/>
  <c r="AJ38" i="2"/>
  <c r="AI38" i="2"/>
  <c r="T38" i="2"/>
  <c r="AZ38" i="2" s="1"/>
  <c r="S38" i="2"/>
  <c r="H38" i="2"/>
  <c r="I38" i="2" s="1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T37" i="2"/>
  <c r="S37" i="2"/>
  <c r="H37" i="2"/>
  <c r="I37" i="2" s="1"/>
  <c r="AV36" i="2"/>
  <c r="AU36" i="2"/>
  <c r="AT36" i="2"/>
  <c r="AS36" i="2"/>
  <c r="AR36" i="2"/>
  <c r="AQ36" i="2"/>
  <c r="BG36" i="2" s="1"/>
  <c r="AP36" i="2"/>
  <c r="AO36" i="2"/>
  <c r="AN36" i="2"/>
  <c r="AM36" i="2"/>
  <c r="AL36" i="2"/>
  <c r="AK36" i="2"/>
  <c r="AJ36" i="2"/>
  <c r="AI36" i="2"/>
  <c r="T36" i="2"/>
  <c r="AZ36" i="2" s="1"/>
  <c r="S36" i="2"/>
  <c r="H36" i="2"/>
  <c r="I36" i="2" s="1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T35" i="2"/>
  <c r="S35" i="2"/>
  <c r="H35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T34" i="2"/>
  <c r="AZ34" i="2" s="1"/>
  <c r="S34" i="2"/>
  <c r="H34" i="2"/>
  <c r="I34" i="2" s="1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T33" i="2"/>
  <c r="S33" i="2"/>
  <c r="H33" i="2"/>
  <c r="I33" i="2" s="1"/>
  <c r="AV32" i="2"/>
  <c r="AU32" i="2"/>
  <c r="AT32" i="2"/>
  <c r="AS32" i="2"/>
  <c r="AR32" i="2"/>
  <c r="AQ32" i="2"/>
  <c r="BG32" i="2" s="1"/>
  <c r="AP32" i="2"/>
  <c r="AO32" i="2"/>
  <c r="AN32" i="2"/>
  <c r="AM32" i="2"/>
  <c r="AL32" i="2"/>
  <c r="AK32" i="2"/>
  <c r="AJ32" i="2"/>
  <c r="AI32" i="2"/>
  <c r="T32" i="2"/>
  <c r="AZ32" i="2" s="1"/>
  <c r="S32" i="2"/>
  <c r="H32" i="2"/>
  <c r="I32" i="2" s="1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T31" i="2"/>
  <c r="S31" i="2"/>
  <c r="H31" i="2"/>
  <c r="AV30" i="2"/>
  <c r="AU30" i="2"/>
  <c r="AT30" i="2"/>
  <c r="AS30" i="2"/>
  <c r="AR30" i="2"/>
  <c r="AQ30" i="2"/>
  <c r="BG30" i="2" s="1"/>
  <c r="AP30" i="2"/>
  <c r="AO30" i="2"/>
  <c r="AN30" i="2"/>
  <c r="AM30" i="2"/>
  <c r="AL30" i="2"/>
  <c r="AK30" i="2"/>
  <c r="AJ30" i="2"/>
  <c r="AI30" i="2"/>
  <c r="T30" i="2"/>
  <c r="AZ30" i="2" s="1"/>
  <c r="S30" i="2"/>
  <c r="H30" i="2"/>
  <c r="I30" i="2" s="1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T29" i="2"/>
  <c r="S29" i="2"/>
  <c r="H29" i="2"/>
  <c r="I29" i="2" s="1"/>
  <c r="AV28" i="2"/>
  <c r="AU28" i="2"/>
  <c r="AT28" i="2"/>
  <c r="AS28" i="2"/>
  <c r="AR28" i="2"/>
  <c r="AQ28" i="2"/>
  <c r="BG28" i="2" s="1"/>
  <c r="AP28" i="2"/>
  <c r="AO28" i="2"/>
  <c r="AN28" i="2"/>
  <c r="AM28" i="2"/>
  <c r="AL28" i="2"/>
  <c r="AK28" i="2"/>
  <c r="AJ28" i="2"/>
  <c r="AI28" i="2"/>
  <c r="T28" i="2"/>
  <c r="AZ28" i="2" s="1"/>
  <c r="S28" i="2"/>
  <c r="H28" i="2"/>
  <c r="I28" i="2" s="1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T27" i="2"/>
  <c r="S27" i="2"/>
  <c r="H27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T26" i="2"/>
  <c r="AZ26" i="2" s="1"/>
  <c r="S26" i="2"/>
  <c r="H26" i="2"/>
  <c r="I26" i="2" s="1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T25" i="2"/>
  <c r="AZ25" i="2" s="1"/>
  <c r="S25" i="2"/>
  <c r="H25" i="2"/>
  <c r="I25" i="2" s="1"/>
  <c r="AV24" i="2"/>
  <c r="AU24" i="2"/>
  <c r="AT24" i="2"/>
  <c r="AS24" i="2"/>
  <c r="AR24" i="2"/>
  <c r="AQ24" i="2"/>
  <c r="BG24" i="2" s="1"/>
  <c r="AP24" i="2"/>
  <c r="AO24" i="2"/>
  <c r="AN24" i="2"/>
  <c r="AM24" i="2"/>
  <c r="AL24" i="2"/>
  <c r="AK24" i="2"/>
  <c r="AJ24" i="2"/>
  <c r="BE24" i="2" s="1"/>
  <c r="AI24" i="2"/>
  <c r="T24" i="2"/>
  <c r="AZ24" i="2" s="1"/>
  <c r="S24" i="2"/>
  <c r="H24" i="2"/>
  <c r="I24" i="2" s="1"/>
  <c r="AV23" i="2"/>
  <c r="AU23" i="2"/>
  <c r="AT23" i="2"/>
  <c r="AS23" i="2"/>
  <c r="AR23" i="2"/>
  <c r="AQ23" i="2"/>
  <c r="BG23" i="2" s="1"/>
  <c r="AP23" i="2"/>
  <c r="AO23" i="2"/>
  <c r="AN23" i="2"/>
  <c r="AM23" i="2"/>
  <c r="AL23" i="2"/>
  <c r="AK23" i="2"/>
  <c r="AJ23" i="2"/>
  <c r="BE23" i="2" s="1"/>
  <c r="AI23" i="2"/>
  <c r="T23" i="2"/>
  <c r="AZ23" i="2" s="1"/>
  <c r="S23" i="2"/>
  <c r="H23" i="2"/>
  <c r="I23" i="2" s="1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T22" i="2"/>
  <c r="AZ22" i="2" s="1"/>
  <c r="S22" i="2"/>
  <c r="H22" i="2"/>
  <c r="I22" i="2" s="1"/>
  <c r="AV21" i="2"/>
  <c r="AU21" i="2"/>
  <c r="AT21" i="2"/>
  <c r="AS21" i="2"/>
  <c r="AR21" i="2"/>
  <c r="AQ21" i="2"/>
  <c r="BG21" i="2" s="1"/>
  <c r="AP21" i="2"/>
  <c r="AO21" i="2"/>
  <c r="AN21" i="2"/>
  <c r="AM21" i="2"/>
  <c r="AL21" i="2"/>
  <c r="AK21" i="2"/>
  <c r="AJ21" i="2"/>
  <c r="BE21" i="2" s="1"/>
  <c r="AI21" i="2"/>
  <c r="T21" i="2"/>
  <c r="AZ21" i="2" s="1"/>
  <c r="S21" i="2"/>
  <c r="H21" i="2"/>
  <c r="I21" i="2" s="1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T19" i="2"/>
  <c r="S19" i="2"/>
  <c r="H19" i="2"/>
  <c r="I19" i="2" s="1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T18" i="2"/>
  <c r="AZ18" i="2" s="1"/>
  <c r="S18" i="2"/>
  <c r="H18" i="2"/>
  <c r="I18" i="2" s="1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T17" i="2"/>
  <c r="AZ17" i="2" s="1"/>
  <c r="S17" i="2"/>
  <c r="H17" i="2"/>
  <c r="I17" i="2" s="1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T16" i="2"/>
  <c r="AZ16" i="2" s="1"/>
  <c r="S16" i="2"/>
  <c r="H16" i="2"/>
  <c r="I16" i="2" s="1"/>
  <c r="AV15" i="2"/>
  <c r="AU15" i="2"/>
  <c r="AT15" i="2"/>
  <c r="AS15" i="2"/>
  <c r="AR15" i="2"/>
  <c r="AQ15" i="2"/>
  <c r="BG15" i="2" s="1"/>
  <c r="AP15" i="2"/>
  <c r="AO15" i="2"/>
  <c r="AN15" i="2"/>
  <c r="AM15" i="2"/>
  <c r="AL15" i="2"/>
  <c r="AK15" i="2"/>
  <c r="AJ15" i="2"/>
  <c r="BE15" i="2" s="1"/>
  <c r="AI15" i="2"/>
  <c r="T15" i="2"/>
  <c r="AZ15" i="2" s="1"/>
  <c r="S15" i="2"/>
  <c r="H15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T14" i="2"/>
  <c r="S14" i="2"/>
  <c r="H14" i="2"/>
  <c r="I14" i="2" s="1"/>
  <c r="AV13" i="2"/>
  <c r="AU13" i="2"/>
  <c r="AT13" i="2"/>
  <c r="AS13" i="2"/>
  <c r="AR13" i="2"/>
  <c r="AQ13" i="2"/>
  <c r="BG13" i="2" s="1"/>
  <c r="AP13" i="2"/>
  <c r="AO13" i="2"/>
  <c r="AN13" i="2"/>
  <c r="AM13" i="2"/>
  <c r="AL13" i="2"/>
  <c r="AK13" i="2"/>
  <c r="AJ13" i="2"/>
  <c r="AI13" i="2"/>
  <c r="T13" i="2"/>
  <c r="AZ13" i="2" s="1"/>
  <c r="S13" i="2"/>
  <c r="H13" i="2"/>
  <c r="I13" i="2" s="1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BE12" i="2" s="1"/>
  <c r="AI12" i="2"/>
  <c r="T12" i="2"/>
  <c r="AZ12" i="2" s="1"/>
  <c r="S12" i="2"/>
  <c r="H12" i="2"/>
  <c r="I12" i="2" s="1"/>
  <c r="AV11" i="2"/>
  <c r="AU11" i="2"/>
  <c r="AT11" i="2"/>
  <c r="AS11" i="2"/>
  <c r="AR11" i="2"/>
  <c r="AQ11" i="2"/>
  <c r="BG11" i="2" s="1"/>
  <c r="AP11" i="2"/>
  <c r="AO11" i="2"/>
  <c r="AN11" i="2"/>
  <c r="AM11" i="2"/>
  <c r="AL11" i="2"/>
  <c r="AK11" i="2"/>
  <c r="AJ11" i="2"/>
  <c r="BE11" i="2" s="1"/>
  <c r="AI11" i="2"/>
  <c r="T11" i="2"/>
  <c r="AZ11" i="2" s="1"/>
  <c r="S11" i="2"/>
  <c r="H11" i="2"/>
  <c r="I11" i="2" s="1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T10" i="2"/>
  <c r="S10" i="2"/>
  <c r="H10" i="2"/>
  <c r="I10" i="2" s="1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T9" i="2"/>
  <c r="AZ9" i="2" s="1"/>
  <c r="S9" i="2"/>
  <c r="H9" i="2"/>
  <c r="I9" i="2" s="1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T8" i="2"/>
  <c r="AZ8" i="2" s="1"/>
  <c r="S8" i="2"/>
  <c r="H8" i="2"/>
  <c r="I8" i="2" s="1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T7" i="2"/>
  <c r="AZ7" i="2" s="1"/>
  <c r="S7" i="2"/>
  <c r="H7" i="2"/>
  <c r="I7" i="2" s="1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BE6" i="2" s="1"/>
  <c r="T6" i="2"/>
  <c r="AZ6" i="2" s="1"/>
  <c r="S6" i="2"/>
  <c r="H6" i="2"/>
  <c r="AV5" i="2"/>
  <c r="AU5" i="2"/>
  <c r="AT5" i="2"/>
  <c r="AS5" i="2"/>
  <c r="AR5" i="2"/>
  <c r="AQ5" i="2"/>
  <c r="BG5" i="2" s="1"/>
  <c r="AP5" i="2"/>
  <c r="AO5" i="2"/>
  <c r="AN5" i="2"/>
  <c r="AM5" i="2"/>
  <c r="AL5" i="2"/>
  <c r="AK5" i="2"/>
  <c r="AJ5" i="2"/>
  <c r="BE5" i="2" s="1"/>
  <c r="T5" i="2"/>
  <c r="S5" i="2"/>
  <c r="H5" i="2"/>
  <c r="BC5" i="2" s="1"/>
  <c r="BG16" i="2" l="1"/>
  <c r="BG50" i="2"/>
  <c r="BG58" i="2"/>
  <c r="BG9" i="2"/>
  <c r="BG17" i="2"/>
  <c r="BG26" i="2"/>
  <c r="BG34" i="2"/>
  <c r="BG43" i="2"/>
  <c r="BG51" i="2"/>
  <c r="BG59" i="2"/>
  <c r="BE17" i="2"/>
  <c r="BG52" i="2"/>
  <c r="BE59" i="2"/>
  <c r="BE18" i="2"/>
  <c r="AY5" i="2"/>
  <c r="AZ5" i="2"/>
  <c r="BA5" i="2" s="1"/>
  <c r="BD5" i="2" s="1"/>
  <c r="BC6" i="2"/>
  <c r="I6" i="2"/>
  <c r="AW7" i="2"/>
  <c r="AX7" i="2" s="1"/>
  <c r="BE8" i="2"/>
  <c r="BG8" i="2"/>
  <c r="BE9" i="2"/>
  <c r="AW10" i="2"/>
  <c r="AX10" i="2" s="1"/>
  <c r="AW11" i="2"/>
  <c r="AX11" i="2" s="1"/>
  <c r="AW13" i="2"/>
  <c r="AX13" i="2" s="1"/>
  <c r="AW14" i="2"/>
  <c r="AX14" i="2" s="1"/>
  <c r="I15" i="2"/>
  <c r="BC15" i="2"/>
  <c r="AW15" i="2"/>
  <c r="AX15" i="2" s="1"/>
  <c r="BE16" i="2"/>
  <c r="AW16" i="2"/>
  <c r="AX16" i="2" s="1"/>
  <c r="AW19" i="2"/>
  <c r="AX19" i="2" s="1"/>
  <c r="AW21" i="2"/>
  <c r="AX21" i="2" s="1"/>
  <c r="BE22" i="2"/>
  <c r="AW23" i="2"/>
  <c r="AX23" i="2" s="1"/>
  <c r="AW24" i="2"/>
  <c r="AX24" i="2" s="1"/>
  <c r="BE25" i="2"/>
  <c r="I27" i="2"/>
  <c r="BC27" i="2"/>
  <c r="AW27" i="2"/>
  <c r="AX27" i="2" s="1"/>
  <c r="BE28" i="2"/>
  <c r="BE29" i="2"/>
  <c r="AW30" i="2"/>
  <c r="AX30" i="2" s="1"/>
  <c r="I31" i="2"/>
  <c r="BC31" i="2"/>
  <c r="AW31" i="2"/>
  <c r="AX31" i="2" s="1"/>
  <c r="BE32" i="2"/>
  <c r="BE33" i="2"/>
  <c r="AW34" i="2"/>
  <c r="AX34" i="2" s="1"/>
  <c r="I35" i="2"/>
  <c r="BC35" i="2"/>
  <c r="AW35" i="2"/>
  <c r="AX35" i="2" s="1"/>
  <c r="BE36" i="2"/>
  <c r="BE37" i="2"/>
  <c r="I39" i="2"/>
  <c r="BC39" i="2"/>
  <c r="BE39" i="2"/>
  <c r="AW39" i="2"/>
  <c r="AX39" i="2" s="1"/>
  <c r="BG39" i="2"/>
  <c r="BE41" i="2"/>
  <c r="BG41" i="2"/>
  <c r="BE42" i="2"/>
  <c r="AW43" i="2"/>
  <c r="AX43" i="2" s="1"/>
  <c r="I44" i="2"/>
  <c r="BC44" i="2"/>
  <c r="AW44" i="2"/>
  <c r="AX44" i="2" s="1"/>
  <c r="BE45" i="2"/>
  <c r="BG45" i="2"/>
  <c r="BE46" i="2"/>
  <c r="BG46" i="2"/>
  <c r="AW47" i="2"/>
  <c r="AX47" i="2" s="1"/>
  <c r="I48" i="2"/>
  <c r="BC48" i="2"/>
  <c r="AW48" i="2"/>
  <c r="AX48" i="2" s="1"/>
  <c r="BE49" i="2"/>
  <c r="BG49" i="2"/>
  <c r="BE50" i="2"/>
  <c r="AW52" i="2"/>
  <c r="AX52" i="2" s="1"/>
  <c r="BE53" i="2"/>
  <c r="BG53" i="2"/>
  <c r="AW55" i="2"/>
  <c r="AX55" i="2" s="1"/>
  <c r="AW56" i="2"/>
  <c r="AX56" i="2" s="1"/>
  <c r="AW58" i="2"/>
  <c r="AX58" i="2" s="1"/>
  <c r="AW59" i="2"/>
  <c r="AX59" i="2" s="1"/>
  <c r="BG6" i="2"/>
  <c r="AW18" i="2"/>
  <c r="AX18" i="2" s="1"/>
  <c r="AY18" i="2"/>
  <c r="BA18" i="2" s="1"/>
  <c r="BD18" i="2" s="1"/>
  <c r="AW22" i="2"/>
  <c r="AX22" i="2" s="1"/>
  <c r="BC22" i="2"/>
  <c r="AW28" i="2"/>
  <c r="AX28" i="2" s="1"/>
  <c r="BG29" i="2"/>
  <c r="AW32" i="2"/>
  <c r="AX32" i="2" s="1"/>
  <c r="BG33" i="2"/>
  <c r="AW36" i="2"/>
  <c r="AX36" i="2" s="1"/>
  <c r="BG37" i="2"/>
  <c r="AW41" i="2"/>
  <c r="AX41" i="2" s="1"/>
  <c r="BG42" i="2"/>
  <c r="AW45" i="2"/>
  <c r="AX45" i="2" s="1"/>
  <c r="AW49" i="2"/>
  <c r="AX49" i="2" s="1"/>
  <c r="AW53" i="2"/>
  <c r="AX53" i="2" s="1"/>
  <c r="AW8" i="2"/>
  <c r="AX8" i="2" s="1"/>
  <c r="AW9" i="2"/>
  <c r="AX9" i="2" s="1"/>
  <c r="AY9" i="2"/>
  <c r="BA9" i="2" s="1"/>
  <c r="BB9" i="2" s="1"/>
  <c r="AW12" i="2"/>
  <c r="AX12" i="2" s="1"/>
  <c r="AY12" i="2"/>
  <c r="BA12" i="2" s="1"/>
  <c r="BE13" i="2"/>
  <c r="AW25" i="2"/>
  <c r="AX25" i="2" s="1"/>
  <c r="AY25" i="2"/>
  <c r="BA25" i="2" s="1"/>
  <c r="BE26" i="2"/>
  <c r="BE30" i="2"/>
  <c r="BE34" i="2"/>
  <c r="BE38" i="2"/>
  <c r="BE43" i="2"/>
  <c r="BE47" i="2"/>
  <c r="BE51" i="2"/>
  <c r="BC8" i="2"/>
  <c r="AW6" i="2"/>
  <c r="AX6" i="2" s="1"/>
  <c r="BE7" i="2"/>
  <c r="BG18" i="2"/>
  <c r="BG22" i="2"/>
  <c r="BC25" i="2"/>
  <c r="AW29" i="2"/>
  <c r="AX29" i="2" s="1"/>
  <c r="BC29" i="2"/>
  <c r="AW33" i="2"/>
  <c r="AX33" i="2" s="1"/>
  <c r="BC33" i="2"/>
  <c r="AW37" i="2"/>
  <c r="AX37" i="2" s="1"/>
  <c r="BC37" i="2"/>
  <c r="AW42" i="2"/>
  <c r="AX42" i="2" s="1"/>
  <c r="BC42" i="2"/>
  <c r="AW46" i="2"/>
  <c r="AX46" i="2" s="1"/>
  <c r="BC46" i="2"/>
  <c r="AW50" i="2"/>
  <c r="AX50" i="2" s="1"/>
  <c r="AW54" i="2"/>
  <c r="AX54" i="2" s="1"/>
  <c r="BE55" i="2"/>
  <c r="AW57" i="2"/>
  <c r="AX57" i="2" s="1"/>
  <c r="BE58" i="2"/>
  <c r="BG7" i="2"/>
  <c r="BG12" i="2"/>
  <c r="BC16" i="2"/>
  <c r="BG25" i="2"/>
  <c r="BE27" i="2"/>
  <c r="BE31" i="2"/>
  <c r="BE35" i="2"/>
  <c r="BE44" i="2"/>
  <c r="BE48" i="2"/>
  <c r="BE52" i="2"/>
  <c r="BC13" i="2"/>
  <c r="AW26" i="2"/>
  <c r="AX26" i="2" s="1"/>
  <c r="BG27" i="2"/>
  <c r="BG31" i="2"/>
  <c r="BG35" i="2"/>
  <c r="AW38" i="2"/>
  <c r="AX38" i="2" s="1"/>
  <c r="BG44" i="2"/>
  <c r="BG48" i="2"/>
  <c r="AW51" i="2"/>
  <c r="AX51" i="2" s="1"/>
  <c r="AW5" i="2"/>
  <c r="AX5" i="2" s="1"/>
  <c r="BC7" i="2"/>
  <c r="AW17" i="2"/>
  <c r="AX17" i="2" s="1"/>
  <c r="BC21" i="2"/>
  <c r="AY24" i="2"/>
  <c r="BA24" i="2" s="1"/>
  <c r="BB24" i="2" s="1"/>
  <c r="BB12" i="2"/>
  <c r="BB25" i="2"/>
  <c r="I5" i="2"/>
  <c r="BC12" i="2"/>
  <c r="BC18" i="2"/>
  <c r="BC24" i="2"/>
  <c r="AZ56" i="2"/>
  <c r="AY56" i="2"/>
  <c r="AZ55" i="2"/>
  <c r="AY55" i="2"/>
  <c r="AY15" i="2"/>
  <c r="BA15" i="2" s="1"/>
  <c r="AY21" i="2"/>
  <c r="BA21" i="2" s="1"/>
  <c r="AZ54" i="2"/>
  <c r="AY54" i="2"/>
  <c r="BA54" i="2" s="1"/>
  <c r="BC9" i="2"/>
  <c r="BD9" i="2" s="1"/>
  <c r="AY16" i="2"/>
  <c r="BA16" i="2" s="1"/>
  <c r="AY22" i="2"/>
  <c r="BA22" i="2" s="1"/>
  <c r="AZ53" i="2"/>
  <c r="AY53" i="2"/>
  <c r="AY11" i="2"/>
  <c r="BA11" i="2" s="1"/>
  <c r="AY17" i="2"/>
  <c r="BA17" i="2" s="1"/>
  <c r="AY23" i="2"/>
  <c r="BA23" i="2" s="1"/>
  <c r="I50" i="2"/>
  <c r="BC50" i="2"/>
  <c r="AZ52" i="2"/>
  <c r="AY52" i="2"/>
  <c r="AZ51" i="2"/>
  <c r="AY51" i="2"/>
  <c r="AY6" i="2"/>
  <c r="BA6" i="2" s="1"/>
  <c r="BB5" i="2"/>
  <c r="AY13" i="2"/>
  <c r="BA13" i="2" s="1"/>
  <c r="AZ27" i="2"/>
  <c r="AY27" i="2"/>
  <c r="AZ29" i="2"/>
  <c r="AY29" i="2"/>
  <c r="BA29" i="2" s="1"/>
  <c r="AZ31" i="2"/>
  <c r="AY31" i="2"/>
  <c r="BA31" i="2" s="1"/>
  <c r="AZ33" i="2"/>
  <c r="AY33" i="2"/>
  <c r="AZ35" i="2"/>
  <c r="AY35" i="2"/>
  <c r="AZ37" i="2"/>
  <c r="AY37" i="2"/>
  <c r="BA37" i="2" s="1"/>
  <c r="AZ39" i="2"/>
  <c r="AY39" i="2"/>
  <c r="BA39" i="2" s="1"/>
  <c r="AZ42" i="2"/>
  <c r="AY42" i="2"/>
  <c r="BA42" i="2" s="1"/>
  <c r="AZ44" i="2"/>
  <c r="AY44" i="2"/>
  <c r="AZ46" i="2"/>
  <c r="AY46" i="2"/>
  <c r="BA46" i="2" s="1"/>
  <c r="AZ48" i="2"/>
  <c r="AY48" i="2"/>
  <c r="BA48" i="2" s="1"/>
  <c r="AZ50" i="2"/>
  <c r="AY50" i="2"/>
  <c r="BA50" i="2" s="1"/>
  <c r="AY7" i="2"/>
  <c r="BA7" i="2" s="1"/>
  <c r="AY8" i="2"/>
  <c r="BA8" i="2" s="1"/>
  <c r="BC11" i="2"/>
  <c r="BC17" i="2"/>
  <c r="BB18" i="2"/>
  <c r="BC23" i="2"/>
  <c r="AY26" i="2"/>
  <c r="BA26" i="2" s="1"/>
  <c r="AY28" i="2"/>
  <c r="BA28" i="2" s="1"/>
  <c r="AY30" i="2"/>
  <c r="BA30" i="2" s="1"/>
  <c r="AY32" i="2"/>
  <c r="BA32" i="2" s="1"/>
  <c r="AY34" i="2"/>
  <c r="BA34" i="2" s="1"/>
  <c r="AY36" i="2"/>
  <c r="BA36" i="2" s="1"/>
  <c r="AY38" i="2"/>
  <c r="BA38" i="2" s="1"/>
  <c r="AY41" i="2"/>
  <c r="BA41" i="2" s="1"/>
  <c r="AY43" i="2"/>
  <c r="BA43" i="2" s="1"/>
  <c r="AY45" i="2"/>
  <c r="BA45" i="2" s="1"/>
  <c r="AY47" i="2"/>
  <c r="BA47" i="2" s="1"/>
  <c r="AY49" i="2"/>
  <c r="BA49" i="2" s="1"/>
  <c r="AZ57" i="2"/>
  <c r="AY57" i="2"/>
  <c r="BC58" i="2"/>
  <c r="AY59" i="2"/>
  <c r="BA59" i="2" s="1"/>
  <c r="BC52" i="2"/>
  <c r="BC54" i="2"/>
  <c r="BC56" i="2"/>
  <c r="BC26" i="2"/>
  <c r="BC28" i="2"/>
  <c r="BC30" i="2"/>
  <c r="BC32" i="2"/>
  <c r="BC34" i="2"/>
  <c r="BC36" i="2"/>
  <c r="BC38" i="2"/>
  <c r="BC41" i="2"/>
  <c r="BC43" i="2"/>
  <c r="BC45" i="2"/>
  <c r="BC47" i="2"/>
  <c r="BC49" i="2"/>
  <c r="BC51" i="2"/>
  <c r="BC53" i="2"/>
  <c r="BC55" i="2"/>
  <c r="BC57" i="2"/>
  <c r="AY58" i="2"/>
  <c r="BA58" i="2" s="1"/>
  <c r="BC59" i="2"/>
  <c r="BD24" i="2" l="1"/>
  <c r="BD25" i="2"/>
  <c r="BA56" i="2"/>
  <c r="BA44" i="2"/>
  <c r="BA35" i="2"/>
  <c r="BB35" i="2" s="1"/>
  <c r="BA27" i="2"/>
  <c r="BB27" i="2" s="1"/>
  <c r="BD12" i="2"/>
  <c r="BD43" i="2"/>
  <c r="BB43" i="2"/>
  <c r="BD26" i="2"/>
  <c r="BB26" i="2"/>
  <c r="BD50" i="2"/>
  <c r="BB50" i="2"/>
  <c r="BD42" i="2"/>
  <c r="BB42" i="2"/>
  <c r="BA33" i="2"/>
  <c r="BD59" i="2"/>
  <c r="BB59" i="2"/>
  <c r="BD41" i="2"/>
  <c r="BB41" i="2"/>
  <c r="BD22" i="2"/>
  <c r="BB22" i="2"/>
  <c r="BA55" i="2"/>
  <c r="BD38" i="2"/>
  <c r="BB38" i="2"/>
  <c r="BD48" i="2"/>
  <c r="BB48" i="2"/>
  <c r="BD39" i="2"/>
  <c r="BB39" i="2"/>
  <c r="BD31" i="2"/>
  <c r="BB31" i="2"/>
  <c r="BD13" i="2"/>
  <c r="BB13" i="2"/>
  <c r="BD16" i="2"/>
  <c r="BB16" i="2"/>
  <c r="BA57" i="2"/>
  <c r="BD36" i="2"/>
  <c r="BB36" i="2"/>
  <c r="BD23" i="2"/>
  <c r="BB23" i="2"/>
  <c r="BD34" i="2"/>
  <c r="BB34" i="2"/>
  <c r="BD46" i="2"/>
  <c r="BB46" i="2"/>
  <c r="BD37" i="2"/>
  <c r="BB37" i="2"/>
  <c r="BD29" i="2"/>
  <c r="BB29" i="2"/>
  <c r="BD6" i="2"/>
  <c r="BB6" i="2"/>
  <c r="BD54" i="2"/>
  <c r="BB54" i="2"/>
  <c r="BD56" i="2"/>
  <c r="BB56" i="2"/>
  <c r="BD58" i="2"/>
  <c r="BB58" i="2"/>
  <c r="BD49" i="2"/>
  <c r="BB49" i="2"/>
  <c r="BD32" i="2"/>
  <c r="BB32" i="2"/>
  <c r="BA51" i="2"/>
  <c r="BD17" i="2"/>
  <c r="BB17" i="2"/>
  <c r="BD47" i="2"/>
  <c r="BB47" i="2"/>
  <c r="BD30" i="2"/>
  <c r="BB30" i="2"/>
  <c r="BD8" i="2"/>
  <c r="BB8" i="2"/>
  <c r="BD44" i="2"/>
  <c r="BB44" i="2"/>
  <c r="BD35" i="2"/>
  <c r="BD11" i="2"/>
  <c r="BB11" i="2"/>
  <c r="BD21" i="2"/>
  <c r="BB21" i="2"/>
  <c r="BD45" i="2"/>
  <c r="BB45" i="2"/>
  <c r="BD28" i="2"/>
  <c r="BB28" i="2"/>
  <c r="BD7" i="2"/>
  <c r="BB7" i="2"/>
  <c r="BA52" i="2"/>
  <c r="BA53" i="2"/>
  <c r="BD15" i="2"/>
  <c r="BB15" i="2"/>
  <c r="BD27" i="2" l="1"/>
  <c r="BD53" i="2"/>
  <c r="BB53" i="2"/>
  <c r="BD55" i="2"/>
  <c r="BB55" i="2"/>
  <c r="BD51" i="2"/>
  <c r="BB51" i="2"/>
  <c r="BD57" i="2"/>
  <c r="BB57" i="2"/>
  <c r="BD52" i="2"/>
  <c r="BB52" i="2"/>
  <c r="BD33" i="2"/>
  <c r="BB33" i="2"/>
</calcChain>
</file>

<file path=xl/sharedStrings.xml><?xml version="1.0" encoding="utf-8"?>
<sst xmlns="http://schemas.openxmlformats.org/spreadsheetml/2006/main" count="498" uniqueCount="209">
  <si>
    <t>Sample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</si>
  <si>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</si>
  <si>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</si>
  <si>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</si>
  <si>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</si>
  <si>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</si>
  <si>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</si>
  <si>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</si>
  <si>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</si>
  <si>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</si>
  <si>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Cr2O3</t>
  </si>
  <si>
    <t>F</t>
  </si>
  <si>
    <t>Cl</t>
  </si>
  <si>
    <t>Sum</t>
  </si>
  <si>
    <t>P(kb) Mutch et al 2016</t>
  </si>
  <si>
    <t>Ridolfi'10:</t>
  </si>
  <si>
    <t>T (°C)</t>
  </si>
  <si>
    <r>
      <t>uncertanty (</t>
    </r>
    <r>
      <rPr>
        <sz val="10"/>
        <rFont val="Arial"/>
        <family val="2"/>
      </rPr>
      <t>σ</t>
    </r>
    <r>
      <rPr>
        <vertAlign val="subscript"/>
        <sz val="10"/>
        <rFont val="Times New Roman"/>
        <family val="1"/>
      </rPr>
      <t>est</t>
    </r>
    <r>
      <rPr>
        <sz val="10"/>
        <rFont val="Times New Roman"/>
        <family val="1"/>
      </rPr>
      <t>)</t>
    </r>
  </si>
  <si>
    <t>∆NNO</t>
  </si>
  <si>
    <r>
      <t>logfO</t>
    </r>
    <r>
      <rPr>
        <b/>
        <vertAlign val="subscript"/>
        <sz val="10"/>
        <rFont val="Times New Roman"/>
        <family val="1"/>
      </rPr>
      <t>2</t>
    </r>
  </si>
  <si>
    <r>
      <t>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melt</t>
    </r>
    <r>
      <rPr>
        <b/>
        <sz val="10"/>
        <rFont val="Times New Roman"/>
        <family val="1"/>
      </rPr>
      <t xml:space="preserve"> (wt.%)</t>
    </r>
  </si>
  <si>
    <t>uncertanty*</t>
  </si>
  <si>
    <t>T(K)</t>
  </si>
  <si>
    <t>log fO2@NNO</t>
  </si>
  <si>
    <t>log fO2FMQ</t>
  </si>
  <si>
    <t>∆FMQ</t>
  </si>
  <si>
    <t>L Porphyry, Turquoise Gulch. Data from Lee 2008 PhD thesis, OSU</t>
  </si>
  <si>
    <t>ES3081-1.1rim</t>
  </si>
  <si>
    <t>ES3081-1.2rim</t>
  </si>
  <si>
    <t>ES3081-1.3rim</t>
  </si>
  <si>
    <t>ES3081-1.5core</t>
  </si>
  <si>
    <t>ES3081-1.6core</t>
  </si>
  <si>
    <t>ES3081-2.1rim</t>
  </si>
  <si>
    <t>ES3081-2.2core</t>
  </si>
  <si>
    <t>ES3081-2.3rim</t>
  </si>
  <si>
    <t>ES3081-3.1rim</t>
  </si>
  <si>
    <t>ES3081-3.2core</t>
  </si>
  <si>
    <t>ES3081-3.3core</t>
  </si>
  <si>
    <t>ES3081-3.4rim</t>
  </si>
  <si>
    <t>ES3081-4.2rim</t>
  </si>
  <si>
    <t>ES3081-4.4core</t>
  </si>
  <si>
    <t>ES3081-4.5core</t>
  </si>
  <si>
    <t>ES3081-4.6core</t>
  </si>
  <si>
    <t>ES3081-5.1rim</t>
  </si>
  <si>
    <t>ES3081-5.2core</t>
  </si>
  <si>
    <t>ES3081-5.5rim</t>
  </si>
  <si>
    <t xml:space="preserve"> </t>
  </si>
  <si>
    <t>ES3076-1.1rim</t>
  </si>
  <si>
    <t>ES3076-1.2core</t>
  </si>
  <si>
    <t>ES3076-1.3rim</t>
  </si>
  <si>
    <t>ES3076-3.1rim</t>
  </si>
  <si>
    <t>ES3076-3.3core</t>
  </si>
  <si>
    <t>ES3076-3.4core</t>
  </si>
  <si>
    <t>ES3076-3.5core</t>
  </si>
  <si>
    <t>ES3076-3.6rim</t>
  </si>
  <si>
    <t>ES3076-3.8core</t>
  </si>
  <si>
    <t>ES3076-3.9rim</t>
  </si>
  <si>
    <t>ES3076-4.1rim</t>
  </si>
  <si>
    <t>ES3076-4.2rim</t>
  </si>
  <si>
    <t>ES3076-4.3core</t>
  </si>
  <si>
    <t>ES3076-4.4rim</t>
  </si>
  <si>
    <t>ES3076-4.5rim</t>
  </si>
  <si>
    <t>ES3076-4.6rim</t>
  </si>
  <si>
    <t>ES3076-4.7rim</t>
  </si>
  <si>
    <t>ES3076-5.1rim</t>
  </si>
  <si>
    <t>ES3076-5.2core</t>
  </si>
  <si>
    <t>ES3076-5.4core</t>
  </si>
  <si>
    <t>ES3076-5.5core</t>
  </si>
  <si>
    <t>ES3076-5.6rim</t>
  </si>
  <si>
    <t>ES3076-5.7rim</t>
  </si>
  <si>
    <t>ES3076-5.8rim</t>
  </si>
  <si>
    <t>ES3076-5.9rim</t>
  </si>
  <si>
    <t>Latite Porphyry Turquoise Gulch. Data from Lee 2008 PhD thesis, OSU</t>
  </si>
  <si>
    <t>ES12792_IMG10</t>
  </si>
  <si>
    <t>ES12792_IMG8</t>
  </si>
  <si>
    <t>ES12792Am-1.1</t>
  </si>
  <si>
    <t>ES12792Am-1.2</t>
  </si>
  <si>
    <t>ES12792Am-1.3</t>
  </si>
  <si>
    <t>ES12792Am-2.1</t>
  </si>
  <si>
    <t>ES12792Am-3.1</t>
  </si>
  <si>
    <t>ES12792Am-4.1</t>
  </si>
  <si>
    <t>ES12792Am-4.2</t>
  </si>
  <si>
    <t>ES12792Am-6.1</t>
  </si>
  <si>
    <t>ES12792Am-6.2</t>
  </si>
  <si>
    <t>ES12792Am-7.1</t>
  </si>
  <si>
    <t>ES12792Am-7.2</t>
  </si>
  <si>
    <t>ES12792Am-8.1</t>
  </si>
  <si>
    <t>ES12792Am-9.1</t>
  </si>
  <si>
    <t>ES12792Am-9.2</t>
  </si>
  <si>
    <t>ES12792Am-10.1</t>
  </si>
  <si>
    <t>ES12792Am-11.1</t>
  </si>
  <si>
    <t>ES12792Am-12.1</t>
  </si>
  <si>
    <t>ES12792Am-12.2</t>
  </si>
  <si>
    <t>Analysis</t>
  </si>
  <si>
    <t>Method</t>
  </si>
  <si>
    <t>Remarks</t>
  </si>
  <si>
    <t>U-Pb Age (Ma)</t>
  </si>
  <si>
    <t>P(Mpa)</t>
  </si>
  <si>
    <t>a(TiO2)</t>
  </si>
  <si>
    <t>a(SiO2)</t>
  </si>
  <si>
    <t>Ti-in-Zirc Temp (K)</t>
  </si>
  <si>
    <t>Ti-in-Zirc Temp (°C)</t>
  </si>
  <si>
    <t>P</t>
  </si>
  <si>
    <t>Ti</t>
  </si>
  <si>
    <t>Sc</t>
  </si>
  <si>
    <t>Y</t>
  </si>
  <si>
    <t>Nb</t>
  </si>
  <si>
    <t>Hf</t>
  </si>
  <si>
    <t>Pb</t>
  </si>
  <si>
    <t>Th (meas)</t>
  </si>
  <si>
    <t>U Meas)</t>
  </si>
  <si>
    <t>Th (initial)</t>
  </si>
  <si>
    <t>U (initial)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</si>
  <si>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</si>
  <si>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</si>
  <si>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</si>
  <si>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</si>
  <si>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</si>
  <si>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</si>
  <si>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</si>
  <si>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</si>
  <si>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</si>
  <si>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</si>
  <si>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</si>
  <si>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</si>
  <si>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</si>
  <si>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</si>
  <si>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La/C1 Chond</t>
  </si>
  <si>
    <t>Ce/C1 Chond</t>
  </si>
  <si>
    <t>Pr/C1 Chond</t>
  </si>
  <si>
    <t>Nd/C1 Chond</t>
  </si>
  <si>
    <t>Sm/C1 Chond</t>
  </si>
  <si>
    <t>Eu/C1 Chond</t>
  </si>
  <si>
    <t>Gd/C1 Chond</t>
  </si>
  <si>
    <t>Tb/C1 Chond</t>
  </si>
  <si>
    <t>Dy/C1 Chond</t>
  </si>
  <si>
    <t>Ho/C1 Chond</t>
  </si>
  <si>
    <t>Er/C1 Chond</t>
  </si>
  <si>
    <t>Tm/C1 Chond</t>
  </si>
  <si>
    <t>Yb/C1 Chond</t>
  </si>
  <si>
    <t>Lu/C1 Chond</t>
  </si>
  <si>
    <t>Eu/Eu*</t>
  </si>
  <si>
    <t>(Eu/Eu*)/YbN x 10^4</t>
  </si>
  <si>
    <t>Ce/U</t>
  </si>
  <si>
    <t>U/Ti</t>
  </si>
  <si>
    <t>Ce/√(UxTi)</t>
  </si>
  <si>
    <r>
      <rPr>
        <sz val="10"/>
        <color indexed="8"/>
        <rFont val="Symbol"/>
        <charset val="2"/>
      </rPr>
      <t>D</t>
    </r>
    <r>
      <rPr>
        <sz val="10"/>
        <color indexed="8"/>
        <rFont val="Verdana"/>
        <family val="2"/>
      </rPr>
      <t xml:space="preserve">FMQ </t>
    </r>
  </si>
  <si>
    <t>log fO2@FMQ</t>
  </si>
  <si>
    <t>log fO2(sample)</t>
  </si>
  <si>
    <r>
      <t>1000(Ce/Nd)</t>
    </r>
    <r>
      <rPr>
        <sz val="6"/>
        <rFont val="Verdana"/>
        <family val="2"/>
      </rPr>
      <t>N</t>
    </r>
    <r>
      <rPr>
        <sz val="10"/>
        <rFont val="Verdana"/>
        <family val="2"/>
      </rPr>
      <t>Y</t>
    </r>
  </si>
  <si>
    <t xml:space="preserve">  deleted reason</t>
  </si>
  <si>
    <t xml:space="preserve"> °K</t>
  </si>
  <si>
    <t>°C</t>
  </si>
  <si>
    <t>ppm</t>
  </si>
  <si>
    <t>or Ce/√(UxTi)</t>
  </si>
  <si>
    <t>El Salvador igneous complex, Chile.  ORE STAGE INTRUSIONS Data from RG Lee, JH Dilles, RM Tosdal, JL Wooden, and FK Mazdab (2017) Econ Geol, 112: 245–273</t>
  </si>
  <si>
    <t>ES-12792. Latite dike, Turquoise Gulch</t>
  </si>
  <si>
    <t>SHRIMP-RG</t>
  </si>
  <si>
    <t>Rim</t>
  </si>
  <si>
    <t>Core</t>
  </si>
  <si>
    <t>Int Rim</t>
  </si>
  <si>
    <t>apat contam</t>
  </si>
  <si>
    <t>ES-12785a.  K porphyry, Turquoise Gulch</t>
  </si>
  <si>
    <t>Mid Rim</t>
  </si>
  <si>
    <t>(100) Sector</t>
  </si>
  <si>
    <t>ES-12787  L porphyry, Turquoise Gulch</t>
  </si>
  <si>
    <t>Int</t>
  </si>
  <si>
    <t>Core Int</t>
  </si>
  <si>
    <t>titanite contam</t>
  </si>
  <si>
    <t>(Ce/U)*(U/Ti)^0.5</t>
  </si>
  <si>
    <r>
      <rPr>
        <b/>
        <sz val="10"/>
        <color indexed="8"/>
        <rFont val="Symbol"/>
        <charset val="2"/>
      </rPr>
      <t>D</t>
    </r>
    <r>
      <rPr>
        <b/>
        <sz val="10"/>
        <color indexed="8"/>
        <rFont val="Verdana"/>
        <family val="2"/>
      </rPr>
      <t xml:space="preserve">FMQ </t>
    </r>
  </si>
  <si>
    <t>Excluded/reason</t>
  </si>
  <si>
    <t>NLR-01</t>
  </si>
  <si>
    <t>ArF LAICPMS</t>
  </si>
  <si>
    <t>spot #112</t>
  </si>
  <si>
    <t>spot #114</t>
  </si>
  <si>
    <t>spot #161</t>
  </si>
  <si>
    <t>spot #117</t>
  </si>
  <si>
    <t>spot #174</t>
  </si>
  <si>
    <t>spot #127</t>
  </si>
  <si>
    <t>spot #168</t>
  </si>
  <si>
    <t>spot #187</t>
  </si>
  <si>
    <t>spot #104</t>
  </si>
  <si>
    <t>spot #109</t>
  </si>
  <si>
    <t>spot #186</t>
  </si>
  <si>
    <t>spot #122</t>
  </si>
  <si>
    <t>spot #111</t>
  </si>
  <si>
    <t>spot #166</t>
  </si>
  <si>
    <t>spot #173</t>
  </si>
  <si>
    <t>spot #128</t>
  </si>
  <si>
    <t>spot #37</t>
  </si>
  <si>
    <t>spot #61</t>
  </si>
  <si>
    <t>spot #96</t>
  </si>
  <si>
    <t>spot #38</t>
  </si>
  <si>
    <t>spot #78</t>
  </si>
  <si>
    <t>spot #45</t>
  </si>
  <si>
    <t>spot #26</t>
  </si>
  <si>
    <t>spot #24</t>
  </si>
  <si>
    <t>spot #48</t>
  </si>
  <si>
    <t>spot #85</t>
  </si>
  <si>
    <t>spot #77</t>
  </si>
  <si>
    <t>spot #47</t>
  </si>
  <si>
    <t>spot #34</t>
  </si>
  <si>
    <t>spot #57</t>
  </si>
  <si>
    <t>spot #98</t>
  </si>
  <si>
    <t>spot #84</t>
  </si>
  <si>
    <t>spot #50</t>
  </si>
  <si>
    <t>spot #63</t>
  </si>
  <si>
    <t>Villalobos igneous complex (Chile) Mio-Pliocene granodiorite porphyry rock zircons, very weak Cu mineralization (G Henriquez, unpub PhD thesis, University of Western Australia,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</si>
</sst>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000"/>
    <numFmt numFmtId="167" formatCode="0.00000"/>
    <numFmt numFmtId="168" formatCode="0.0000"/>
  </numFmts>
  <fonts count="3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  <charset val="2"/>
    </font>
    <font>
      <sz val="10"/>
      <color indexed="8"/>
      <name val="Symbol"/>
      <charset val="2"/>
    </font>
    <font>
      <sz val="6"/>
      <name val="Verdana"/>
      <family val="2"/>
    </font>
    <font>
      <b/>
      <sz val="10"/>
      <color indexed="8"/>
      <name val="Verdana"/>
      <family val="2"/>
    </font>
    <font>
      <sz val="11"/>
      <name val="Calibri"/>
      <family val="2"/>
      <scheme val="minor"/>
    </font>
    <font>
      <b/>
      <sz val="10"/>
      <color indexed="8"/>
      <name val="Verdana"/>
      <family val="2"/>
      <charset val="2"/>
    </font>
    <font>
      <b/>
      <sz val="10"/>
      <color indexed="8"/>
      <name val="Symbol"/>
      <charset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FBFFBB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AFFC8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2" fontId="0" fillId="0" borderId="0" xfId="0" applyNumberFormat="1"/>
    <xf numFmtId="164" fontId="19" fillId="0" borderId="0" xfId="0" applyNumberFormat="1" applyFont="1"/>
    <xf numFmtId="164" fontId="20" fillId="0" borderId="0" xfId="0" applyNumberFormat="1" applyFont="1"/>
    <xf numFmtId="0" fontId="19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16" fillId="0" borderId="0" xfId="0" applyFont="1"/>
    <xf numFmtId="1" fontId="24" fillId="0" borderId="0" xfId="0" applyNumberFormat="1" applyFont="1"/>
    <xf numFmtId="164" fontId="26" fillId="0" borderId="0" xfId="0" applyNumberFormat="1" applyFont="1"/>
    <xf numFmtId="164" fontId="27" fillId="0" borderId="0" xfId="0" applyNumberFormat="1" applyFont="1"/>
    <xf numFmtId="0" fontId="28" fillId="33" borderId="0" xfId="0" applyFont="1" applyFill="1"/>
    <xf numFmtId="0" fontId="24" fillId="33" borderId="0" xfId="0" applyFont="1" applyFill="1"/>
    <xf numFmtId="0" fontId="26" fillId="0" borderId="0" xfId="0" applyFont="1"/>
    <xf numFmtId="0" fontId="31" fillId="0" borderId="0" xfId="0" applyFont="1"/>
    <xf numFmtId="165" fontId="0" fillId="0" borderId="0" xfId="0" applyNumberFormat="1"/>
    <xf numFmtId="165" fontId="24" fillId="0" borderId="0" xfId="0" applyNumberFormat="1" applyFont="1"/>
    <xf numFmtId="1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2" fontId="32" fillId="0" borderId="0" xfId="0" applyNumberFormat="1" applyFont="1"/>
    <xf numFmtId="164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164" fontId="24" fillId="0" borderId="0" xfId="0" applyNumberFormat="1" applyFont="1"/>
    <xf numFmtId="2" fontId="24" fillId="0" borderId="0" xfId="0" applyNumberFormat="1" applyFont="1"/>
    <xf numFmtId="166" fontId="24" fillId="0" borderId="0" xfId="0" applyNumberFormat="1" applyFont="1"/>
    <xf numFmtId="167" fontId="24" fillId="0" borderId="0" xfId="0" applyNumberFormat="1" applyFont="1"/>
    <xf numFmtId="164" fontId="0" fillId="34" borderId="0" xfId="0" applyNumberFormat="1" applyFill="1"/>
    <xf numFmtId="164" fontId="0" fillId="0" borderId="0" xfId="0" applyNumberFormat="1"/>
    <xf numFmtId="168" fontId="24" fillId="0" borderId="0" xfId="0" applyNumberFormat="1" applyFont="1"/>
    <xf numFmtId="165" fontId="24" fillId="35" borderId="0" xfId="0" applyNumberFormat="1" applyFont="1" applyFill="1" applyAlignment="1">
      <alignment horizontal="right"/>
    </xf>
    <xf numFmtId="164" fontId="24" fillId="35" borderId="0" xfId="0" applyNumberFormat="1" applyFont="1" applyFill="1" applyAlignment="1">
      <alignment horizontal="right"/>
    </xf>
    <xf numFmtId="2" fontId="24" fillId="35" borderId="0" xfId="0" applyNumberFormat="1" applyFont="1" applyFill="1" applyAlignment="1">
      <alignment horizontal="right"/>
    </xf>
    <xf numFmtId="168" fontId="24" fillId="0" borderId="0" xfId="0" applyNumberFormat="1" applyFont="1" applyAlignment="1">
      <alignment horizontal="right"/>
    </xf>
    <xf numFmtId="0" fontId="27" fillId="0" borderId="0" xfId="0" applyFont="1"/>
    <xf numFmtId="0" fontId="33" fillId="33" borderId="0" xfId="0" applyFont="1" applyFill="1"/>
    <xf numFmtId="0" fontId="26" fillId="36" borderId="0" xfId="0" applyFont="1" applyFill="1"/>
    <xf numFmtId="164" fontId="24" fillId="33" borderId="0" xfId="0" applyNumberFormat="1" applyFont="1" applyFill="1"/>
    <xf numFmtId="164" fontId="24" fillId="37" borderId="0" xfId="0" applyNumberFormat="1" applyFont="1" applyFill="1"/>
    <xf numFmtId="0" fontId="24" fillId="0" borderId="0" xfId="0" applyFont="1" applyBorder="1"/>
    <xf numFmtId="165" fontId="24" fillId="0" borderId="0" xfId="0" applyNumberFormat="1" applyFont="1" applyBorder="1"/>
    <xf numFmtId="165" fontId="24" fillId="35" borderId="0" xfId="0" applyNumberFormat="1" applyFont="1" applyFill="1" applyBorder="1"/>
    <xf numFmtId="1" fontId="24" fillId="0" borderId="0" xfId="0" applyNumberFormat="1" applyFont="1" applyBorder="1"/>
    <xf numFmtId="2" fontId="32" fillId="0" borderId="0" xfId="0" applyNumberFormat="1" applyFont="1" applyBorder="1"/>
    <xf numFmtId="164" fontId="24" fillId="0" borderId="0" xfId="0" applyNumberFormat="1" applyFont="1" applyBorder="1"/>
    <xf numFmtId="164" fontId="24" fillId="35" borderId="0" xfId="0" applyNumberFormat="1" applyFont="1" applyFill="1" applyBorder="1"/>
    <xf numFmtId="2" fontId="24" fillId="35" borderId="0" xfId="0" applyNumberFormat="1" applyFont="1" applyFill="1" applyBorder="1"/>
    <xf numFmtId="2" fontId="24" fillId="0" borderId="0" xfId="0" applyNumberFormat="1" applyFont="1" applyBorder="1"/>
    <xf numFmtId="168" fontId="24" fillId="0" borderId="0" xfId="0" applyNumberFormat="1" applyFont="1" applyBorder="1"/>
    <xf numFmtId="166" fontId="24" fillId="0" borderId="0" xfId="0" applyNumberFormat="1" applyFont="1" applyBorder="1"/>
    <xf numFmtId="167" fontId="24" fillId="0" borderId="0" xfId="0" applyNumberFormat="1" applyFont="1" applyBorder="1"/>
    <xf numFmtId="164" fontId="0" fillId="34" borderId="0" xfId="0" applyNumberFormat="1" applyFill="1" applyBorder="1"/>
    <xf numFmtId="164" fontId="0" fillId="0" borderId="0" xfId="0" applyNumberFormat="1" applyBorder="1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9"/>
  <sheetViews>
    <sheetView workbookViewId="0">
      <pane ySplit="780" activePane="bottomLeft"/>
      <selection activeCell="T1" sqref="T1:U1048576"/>
      <selection pane="bottomLeft" activeCell="A2" sqref="A2"/>
    </sheetView>
  </sheetViews>
  <sheetFormatPr baseColWidth="10" defaultColWidth="11" defaultRowHeight="16"/>
  <sheetData>
    <row r="1" spans="1:28" ht="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P1" t="s">
        <v>14</v>
      </c>
      <c r="Q1" t="s">
        <v>15</v>
      </c>
      <c r="R1" s="2" t="s">
        <v>16</v>
      </c>
      <c r="S1" s="3" t="s">
        <v>17</v>
      </c>
      <c r="T1" s="2" t="s">
        <v>18</v>
      </c>
      <c r="U1" s="4" t="s">
        <v>19</v>
      </c>
      <c r="V1" s="3" t="s">
        <v>17</v>
      </c>
      <c r="W1" s="2" t="s">
        <v>20</v>
      </c>
      <c r="X1" s="3" t="s">
        <v>21</v>
      </c>
      <c r="Y1" t="s">
        <v>22</v>
      </c>
      <c r="Z1" t="s">
        <v>23</v>
      </c>
      <c r="AA1" t="s">
        <v>24</v>
      </c>
      <c r="AB1" t="s">
        <v>25</v>
      </c>
    </row>
    <row r="2" spans="1:28">
      <c r="A2" t="s">
        <v>26</v>
      </c>
    </row>
    <row r="3" spans="1:28">
      <c r="A3" t="s">
        <v>27</v>
      </c>
      <c r="B3">
        <v>50.98</v>
      </c>
      <c r="C3">
        <v>1.08</v>
      </c>
      <c r="D3">
        <v>4.54</v>
      </c>
      <c r="E3">
        <v>10.15</v>
      </c>
      <c r="F3">
        <v>0.42</v>
      </c>
      <c r="G3">
        <v>17.32</v>
      </c>
      <c r="H3">
        <v>11.17</v>
      </c>
      <c r="I3">
        <v>1.1100000000000001</v>
      </c>
      <c r="J3">
        <v>0.4</v>
      </c>
      <c r="K3">
        <v>0</v>
      </c>
      <c r="L3">
        <v>0</v>
      </c>
      <c r="M3">
        <v>0.08</v>
      </c>
      <c r="N3">
        <v>97.26</v>
      </c>
      <c r="P3" s="5">
        <v>1.3461393360948881</v>
      </c>
      <c r="R3" s="1">
        <v>753.673934809206</v>
      </c>
      <c r="S3" s="1">
        <v>22</v>
      </c>
      <c r="T3" s="1">
        <v>2.5625400480762699</v>
      </c>
      <c r="U3" s="1">
        <v>-12.34429701115679</v>
      </c>
      <c r="V3" s="1">
        <v>0.4</v>
      </c>
      <c r="W3" s="1">
        <v>3.3113930935899276</v>
      </c>
      <c r="X3" s="1">
        <v>0.4</v>
      </c>
      <c r="Y3" s="1">
        <v>1026.8239348092061</v>
      </c>
      <c r="Z3" s="1">
        <v>-14.9318970701297</v>
      </c>
      <c r="AA3" s="1">
        <v>-15.792495863498191</v>
      </c>
      <c r="AB3" s="1">
        <v>3.4231388414447101</v>
      </c>
    </row>
    <row r="4" spans="1:28">
      <c r="A4" t="s">
        <v>28</v>
      </c>
      <c r="B4">
        <v>50.58</v>
      </c>
      <c r="C4">
        <v>1.2</v>
      </c>
      <c r="D4">
        <v>4.99</v>
      </c>
      <c r="E4">
        <v>10.14</v>
      </c>
      <c r="F4">
        <v>0.4</v>
      </c>
      <c r="G4">
        <v>17.12</v>
      </c>
      <c r="H4">
        <v>11.45</v>
      </c>
      <c r="I4">
        <v>1.1000000000000001</v>
      </c>
      <c r="J4">
        <v>0.45</v>
      </c>
      <c r="K4">
        <v>0</v>
      </c>
      <c r="L4">
        <v>0</v>
      </c>
      <c r="M4">
        <v>0.12</v>
      </c>
      <c r="N4">
        <v>97.56</v>
      </c>
      <c r="P4" s="5">
        <v>1.4925283425049125</v>
      </c>
      <c r="R4" s="1">
        <v>761.35873643793275</v>
      </c>
      <c r="S4" s="1">
        <v>22</v>
      </c>
      <c r="T4" s="1">
        <v>2.3700297156920778</v>
      </c>
      <c r="U4" s="1">
        <v>-12.356883349338617</v>
      </c>
      <c r="V4" s="1">
        <v>0.4</v>
      </c>
      <c r="W4" s="1">
        <v>3.3560646513774408</v>
      </c>
      <c r="X4" s="1">
        <v>0.4</v>
      </c>
      <c r="Y4" s="1">
        <v>1034.5087364379328</v>
      </c>
      <c r="Z4" s="1">
        <v>-14.754721801290396</v>
      </c>
      <c r="AA4" s="1">
        <v>-15.612472931140495</v>
      </c>
      <c r="AB4" s="1">
        <v>3.2277808455421768</v>
      </c>
    </row>
    <row r="5" spans="1:28">
      <c r="A5" t="s">
        <v>29</v>
      </c>
      <c r="B5">
        <v>51.69</v>
      </c>
      <c r="C5">
        <v>1.03</v>
      </c>
      <c r="D5">
        <v>4.17</v>
      </c>
      <c r="E5">
        <v>9.99</v>
      </c>
      <c r="F5">
        <v>0.4</v>
      </c>
      <c r="G5">
        <v>17.03</v>
      </c>
      <c r="H5">
        <v>11.49</v>
      </c>
      <c r="I5">
        <v>0.82</v>
      </c>
      <c r="J5">
        <v>0.44</v>
      </c>
      <c r="K5">
        <v>0.03</v>
      </c>
      <c r="L5">
        <v>0</v>
      </c>
      <c r="M5">
        <v>0.08</v>
      </c>
      <c r="N5">
        <v>97.15</v>
      </c>
      <c r="P5" s="5">
        <v>1.2311764535725929</v>
      </c>
      <c r="R5" s="1">
        <v>735.75131943067481</v>
      </c>
      <c r="S5" s="1">
        <v>22</v>
      </c>
      <c r="T5" s="1">
        <v>2.400238906398549</v>
      </c>
      <c r="U5" s="1">
        <v>-12.932096187353515</v>
      </c>
      <c r="V5" s="1">
        <v>0.4</v>
      </c>
      <c r="W5" s="1">
        <v>3.420484848866181</v>
      </c>
      <c r="X5" s="1">
        <v>0.4</v>
      </c>
      <c r="Y5" s="1">
        <v>1008.9013194306748</v>
      </c>
      <c r="Z5" s="1">
        <v>-15.355709654912657</v>
      </c>
      <c r="AA5" s="1">
        <v>-16.223162085214877</v>
      </c>
      <c r="AB5" s="1">
        <v>3.2676913367007696</v>
      </c>
    </row>
    <row r="6" spans="1:28">
      <c r="A6" t="s">
        <v>30</v>
      </c>
      <c r="B6">
        <v>51.64</v>
      </c>
      <c r="C6">
        <v>1.04</v>
      </c>
      <c r="D6">
        <v>4.34</v>
      </c>
      <c r="E6">
        <v>10.01</v>
      </c>
      <c r="F6">
        <v>0.44</v>
      </c>
      <c r="G6">
        <v>17.63</v>
      </c>
      <c r="H6">
        <v>11.06</v>
      </c>
      <c r="I6">
        <v>1.01</v>
      </c>
      <c r="J6">
        <v>0.39</v>
      </c>
      <c r="K6">
        <v>0</v>
      </c>
      <c r="L6">
        <v>0</v>
      </c>
      <c r="M6">
        <v>0.11</v>
      </c>
      <c r="N6">
        <v>97.68</v>
      </c>
      <c r="P6" s="5">
        <v>1.2753857813733394</v>
      </c>
      <c r="R6" s="1">
        <v>757.15996229692678</v>
      </c>
      <c r="S6" s="1">
        <v>22</v>
      </c>
      <c r="T6" s="1">
        <v>2.6485027481892542</v>
      </c>
      <c r="U6" s="1">
        <v>-12.179116882339706</v>
      </c>
      <c r="V6" s="1">
        <v>0.4</v>
      </c>
      <c r="W6" s="1">
        <v>3.1904338640186243</v>
      </c>
      <c r="X6" s="1">
        <v>0.4</v>
      </c>
      <c r="Y6" s="1">
        <v>1030.3099622969266</v>
      </c>
      <c r="Z6" s="1">
        <v>-14.851194662791382</v>
      </c>
      <c r="AA6" s="1">
        <v>-15.710495539772053</v>
      </c>
      <c r="AB6" s="1">
        <v>3.5078036251699247</v>
      </c>
    </row>
    <row r="7" spans="1:28">
      <c r="A7" t="s">
        <v>31</v>
      </c>
      <c r="B7">
        <v>51.68</v>
      </c>
      <c r="C7">
        <v>0.93</v>
      </c>
      <c r="D7">
        <v>4.18</v>
      </c>
      <c r="E7">
        <v>10.07</v>
      </c>
      <c r="F7">
        <v>0.42</v>
      </c>
      <c r="G7">
        <v>17.46</v>
      </c>
      <c r="H7">
        <v>11.5</v>
      </c>
      <c r="I7">
        <v>0.97</v>
      </c>
      <c r="J7">
        <v>0.36</v>
      </c>
      <c r="K7">
        <v>0.02</v>
      </c>
      <c r="L7">
        <v>0</v>
      </c>
      <c r="M7">
        <v>0.08</v>
      </c>
      <c r="N7">
        <v>97.66</v>
      </c>
      <c r="P7" s="5">
        <v>1.2290167161477912</v>
      </c>
      <c r="R7" s="1">
        <v>740.61887949548714</v>
      </c>
      <c r="S7" s="1">
        <v>22</v>
      </c>
      <c r="T7" s="1">
        <v>2.581713415614117</v>
      </c>
      <c r="U7" s="1">
        <v>-12.634242661619041</v>
      </c>
      <c r="V7" s="1">
        <v>0.4</v>
      </c>
      <c r="W7" s="1">
        <v>3.3609496935201228</v>
      </c>
      <c r="X7" s="1">
        <v>0.4</v>
      </c>
      <c r="Y7" s="1">
        <v>1013.7688794954871</v>
      </c>
      <c r="Z7" s="1">
        <v>-15.239109378903194</v>
      </c>
      <c r="AA7" s="1">
        <v>-16.104668353016208</v>
      </c>
      <c r="AB7" s="1">
        <v>3.4472723897271313</v>
      </c>
    </row>
    <row r="8" spans="1:28">
      <c r="A8" t="s">
        <v>32</v>
      </c>
      <c r="B8">
        <v>51.51</v>
      </c>
      <c r="C8">
        <v>1.1399999999999999</v>
      </c>
      <c r="D8">
        <v>4.57</v>
      </c>
      <c r="E8">
        <v>9.83</v>
      </c>
      <c r="F8">
        <v>0.35</v>
      </c>
      <c r="G8">
        <v>17.739999999999998</v>
      </c>
      <c r="H8">
        <v>11.11</v>
      </c>
      <c r="I8">
        <v>1.24</v>
      </c>
      <c r="J8">
        <v>0.43</v>
      </c>
      <c r="K8">
        <v>0</v>
      </c>
      <c r="L8">
        <v>0</v>
      </c>
      <c r="M8">
        <v>0.12</v>
      </c>
      <c r="N8">
        <v>98.04</v>
      </c>
      <c r="P8" s="5">
        <v>1.3414616494303875</v>
      </c>
      <c r="R8" s="1">
        <v>753.81942890670621</v>
      </c>
      <c r="S8" s="1">
        <v>22</v>
      </c>
      <c r="T8" s="1">
        <v>2.6157460393210128</v>
      </c>
      <c r="U8" s="1">
        <v>-12.287806176180727</v>
      </c>
      <c r="V8" s="1">
        <v>0.4</v>
      </c>
      <c r="W8" s="1">
        <v>3.0411981851518526</v>
      </c>
      <c r="X8" s="1">
        <v>0.4</v>
      </c>
      <c r="Y8" s="1">
        <v>1026.9694289067061</v>
      </c>
      <c r="Z8" s="1">
        <v>-14.928517771456505</v>
      </c>
      <c r="AA8" s="1">
        <v>-15.78906218341996</v>
      </c>
      <c r="AB8" s="1">
        <v>3.4762904512844672</v>
      </c>
    </row>
    <row r="9" spans="1:28">
      <c r="A9" t="s">
        <v>33</v>
      </c>
      <c r="B9">
        <v>52</v>
      </c>
      <c r="C9">
        <v>0.88</v>
      </c>
      <c r="D9">
        <v>4.18</v>
      </c>
      <c r="E9">
        <v>9.32</v>
      </c>
      <c r="F9">
        <v>0.4</v>
      </c>
      <c r="G9">
        <v>18.05</v>
      </c>
      <c r="H9">
        <v>11.21</v>
      </c>
      <c r="I9">
        <v>1.1100000000000001</v>
      </c>
      <c r="J9">
        <v>0.31</v>
      </c>
      <c r="K9">
        <v>0</v>
      </c>
      <c r="L9">
        <v>0</v>
      </c>
      <c r="M9">
        <v>7.0000000000000007E-2</v>
      </c>
      <c r="N9">
        <v>97.53</v>
      </c>
      <c r="P9" s="5">
        <v>1.2247540920167088</v>
      </c>
      <c r="R9" s="1">
        <v>741.16465127096899</v>
      </c>
      <c r="S9" s="1">
        <v>22</v>
      </c>
      <c r="T9" s="1">
        <v>2.7511924190910388</v>
      </c>
      <c r="U9" s="1">
        <v>-12.451900708783413</v>
      </c>
      <c r="V9" s="1">
        <v>0.4</v>
      </c>
      <c r="W9" s="1">
        <v>3.1928875709922604</v>
      </c>
      <c r="X9" s="1">
        <v>0.4</v>
      </c>
      <c r="Y9" s="1">
        <v>1014.314651270969</v>
      </c>
      <c r="Z9" s="1">
        <v>-15.226106164076159</v>
      </c>
      <c r="AA9" s="1">
        <v>-16.091454405722288</v>
      </c>
      <c r="AB9" s="1">
        <v>3.6165406607371686</v>
      </c>
    </row>
    <row r="10" spans="1:28">
      <c r="A10" t="s">
        <v>34</v>
      </c>
      <c r="B10">
        <v>51.51</v>
      </c>
      <c r="C10">
        <v>1.03</v>
      </c>
      <c r="D10">
        <v>4.47</v>
      </c>
      <c r="E10">
        <v>9.61</v>
      </c>
      <c r="F10">
        <v>0.38</v>
      </c>
      <c r="G10">
        <v>17.59</v>
      </c>
      <c r="H10">
        <v>11.15</v>
      </c>
      <c r="I10">
        <v>1.19</v>
      </c>
      <c r="J10">
        <v>0.43</v>
      </c>
      <c r="K10">
        <v>0.02</v>
      </c>
      <c r="L10">
        <v>0</v>
      </c>
      <c r="M10">
        <v>0.12</v>
      </c>
      <c r="N10">
        <v>97.51</v>
      </c>
      <c r="P10" s="5">
        <v>1.3165525156395637</v>
      </c>
      <c r="R10" s="1">
        <v>742.64541030326086</v>
      </c>
      <c r="S10" s="1">
        <v>22</v>
      </c>
      <c r="T10" s="1">
        <v>2.5553483001435833</v>
      </c>
      <c r="U10" s="1">
        <v>-12.610750984334745</v>
      </c>
      <c r="V10" s="1">
        <v>0.4</v>
      </c>
      <c r="W10" s="1">
        <v>3.052800023342181</v>
      </c>
      <c r="X10" s="1">
        <v>0.4</v>
      </c>
      <c r="Y10" s="1">
        <v>1015.7954103032608</v>
      </c>
      <c r="Z10" s="1">
        <v>-15.190897659749623</v>
      </c>
      <c r="AA10" s="1">
        <v>-16.055675703621333</v>
      </c>
      <c r="AB10" s="1">
        <v>3.4201263440152925</v>
      </c>
    </row>
    <row r="11" spans="1:28">
      <c r="A11" t="s">
        <v>35</v>
      </c>
      <c r="B11">
        <v>53.3</v>
      </c>
      <c r="C11">
        <v>0.49</v>
      </c>
      <c r="D11">
        <v>2.91</v>
      </c>
      <c r="E11">
        <v>9.36</v>
      </c>
      <c r="F11">
        <v>0.36</v>
      </c>
      <c r="G11">
        <v>18.2</v>
      </c>
      <c r="H11">
        <v>11.95</v>
      </c>
      <c r="I11">
        <v>0.57999999999999996</v>
      </c>
      <c r="J11">
        <v>0.24</v>
      </c>
      <c r="K11">
        <v>0.02</v>
      </c>
      <c r="L11">
        <v>0</v>
      </c>
      <c r="M11">
        <v>0.06</v>
      </c>
      <c r="N11">
        <v>97.48</v>
      </c>
      <c r="P11" s="5">
        <v>0.89949738632177412</v>
      </c>
      <c r="R11" s="1">
        <v>716.6197323248382</v>
      </c>
      <c r="S11" s="1">
        <v>22</v>
      </c>
      <c r="T11" s="1">
        <v>2.8976192284077351</v>
      </c>
      <c r="U11" s="1">
        <v>-12.910286583063687</v>
      </c>
      <c r="V11" s="1">
        <v>0.4</v>
      </c>
      <c r="W11" s="1">
        <v>3.2664166389852483</v>
      </c>
      <c r="X11" s="1">
        <v>0.4</v>
      </c>
      <c r="Y11" s="1">
        <v>989.76973232483817</v>
      </c>
      <c r="Z11" s="1">
        <v>-15.825228886933978</v>
      </c>
      <c r="AA11" s="1">
        <v>-16.700392374647407</v>
      </c>
      <c r="AB11" s="1">
        <v>3.7727827161211644</v>
      </c>
    </row>
    <row r="12" spans="1:28">
      <c r="A12" t="s">
        <v>36</v>
      </c>
      <c r="B12">
        <v>54.89</v>
      </c>
      <c r="C12">
        <v>0.14000000000000001</v>
      </c>
      <c r="D12">
        <v>1.99</v>
      </c>
      <c r="E12">
        <v>9.57</v>
      </c>
      <c r="F12">
        <v>0.35</v>
      </c>
      <c r="G12">
        <v>18.149999999999999</v>
      </c>
      <c r="H12">
        <v>12.38</v>
      </c>
      <c r="I12">
        <v>0.28999999999999998</v>
      </c>
      <c r="J12">
        <v>0.1</v>
      </c>
      <c r="K12">
        <v>0</v>
      </c>
      <c r="L12">
        <v>0</v>
      </c>
      <c r="M12">
        <v>0.2</v>
      </c>
      <c r="N12">
        <v>98.07</v>
      </c>
      <c r="P12" s="5">
        <v>0.7193743536431203</v>
      </c>
      <c r="R12" s="1">
        <v>683.70092740445489</v>
      </c>
      <c r="S12" s="1">
        <v>22</v>
      </c>
      <c r="T12" s="1">
        <v>2.8879385765084624</v>
      </c>
      <c r="U12" s="1">
        <v>-13.775333746782797</v>
      </c>
      <c r="V12" s="1">
        <v>0.4</v>
      </c>
      <c r="W12" s="1">
        <v>3.5671917407491716</v>
      </c>
      <c r="X12" s="1">
        <v>0.4</v>
      </c>
      <c r="Y12" s="1">
        <v>956.85092740445486</v>
      </c>
      <c r="Z12" s="1">
        <v>-16.677519900736225</v>
      </c>
      <c r="AA12" s="1">
        <v>-17.56718931097474</v>
      </c>
      <c r="AB12" s="1">
        <v>3.7776079867469772</v>
      </c>
    </row>
    <row r="13" spans="1:28">
      <c r="A13" t="s">
        <v>37</v>
      </c>
      <c r="B13">
        <v>53.77</v>
      </c>
      <c r="C13">
        <v>0.36</v>
      </c>
      <c r="D13">
        <v>2.4500000000000002</v>
      </c>
      <c r="E13">
        <v>9.4600000000000009</v>
      </c>
      <c r="F13">
        <v>0.3</v>
      </c>
      <c r="G13">
        <v>18.149999999999999</v>
      </c>
      <c r="H13">
        <v>11.85</v>
      </c>
      <c r="I13">
        <v>0.47</v>
      </c>
      <c r="J13">
        <v>0.15</v>
      </c>
      <c r="K13">
        <v>0.01</v>
      </c>
      <c r="L13">
        <v>0</v>
      </c>
      <c r="M13">
        <v>0.04</v>
      </c>
      <c r="N13">
        <v>97.01</v>
      </c>
      <c r="P13" s="5">
        <v>0.80586292135242621</v>
      </c>
      <c r="R13" s="1">
        <v>703.70519784331304</v>
      </c>
      <c r="S13" s="1">
        <v>22</v>
      </c>
      <c r="T13" s="1">
        <v>2.9171462131904127</v>
      </c>
      <c r="U13" s="1">
        <v>-13.21984113880335</v>
      </c>
      <c r="V13" s="1">
        <v>0.4</v>
      </c>
      <c r="W13" s="1">
        <v>3.2921172714894169</v>
      </c>
      <c r="X13" s="1">
        <v>0.4</v>
      </c>
      <c r="Y13" s="1">
        <v>976.85519784331302</v>
      </c>
      <c r="Z13" s="1">
        <v>-16.152678599072779</v>
      </c>
      <c r="AA13" s="1">
        <v>-17.033325432941393</v>
      </c>
      <c r="AB13" s="1">
        <v>3.7977930470590264</v>
      </c>
    </row>
    <row r="14" spans="1:28">
      <c r="A14" t="s">
        <v>38</v>
      </c>
      <c r="B14">
        <v>54.34</v>
      </c>
      <c r="C14">
        <v>0.23</v>
      </c>
      <c r="D14">
        <v>2.15</v>
      </c>
      <c r="E14">
        <v>9.35</v>
      </c>
      <c r="F14">
        <v>0.36</v>
      </c>
      <c r="G14">
        <v>18.37</v>
      </c>
      <c r="H14">
        <v>12.03</v>
      </c>
      <c r="I14">
        <v>0.49</v>
      </c>
      <c r="J14">
        <v>0.1</v>
      </c>
      <c r="K14">
        <v>0</v>
      </c>
      <c r="L14">
        <v>0</v>
      </c>
      <c r="M14">
        <v>0.04</v>
      </c>
      <c r="N14">
        <v>97.46</v>
      </c>
      <c r="P14" s="5">
        <v>0.74817979457245876</v>
      </c>
      <c r="R14" s="1">
        <v>694.17510664889301</v>
      </c>
      <c r="S14" s="1">
        <v>22</v>
      </c>
      <c r="T14" s="1">
        <v>2.9937449326569237</v>
      </c>
      <c r="U14" s="1">
        <v>-13.391559818754395</v>
      </c>
      <c r="V14" s="1">
        <v>0.4</v>
      </c>
      <c r="W14" s="1">
        <v>3.3273121437411728</v>
      </c>
      <c r="X14" s="1">
        <v>0.4</v>
      </c>
      <c r="Y14" s="1">
        <v>967.32510664889298</v>
      </c>
      <c r="Z14" s="1">
        <v>-16.399979798282924</v>
      </c>
      <c r="AA14" s="1">
        <v>-17.284838837834421</v>
      </c>
      <c r="AB14" s="1">
        <v>3.8786039722084205</v>
      </c>
    </row>
    <row r="15" spans="1:28">
      <c r="A15" t="s">
        <v>39</v>
      </c>
      <c r="B15">
        <v>51</v>
      </c>
      <c r="C15">
        <v>1.17</v>
      </c>
      <c r="D15">
        <v>4.71</v>
      </c>
      <c r="E15">
        <v>10.6</v>
      </c>
      <c r="F15">
        <v>0.41</v>
      </c>
      <c r="G15">
        <v>16.97</v>
      </c>
      <c r="H15">
        <v>11.22</v>
      </c>
      <c r="I15">
        <v>1.17</v>
      </c>
      <c r="J15">
        <v>0.45</v>
      </c>
      <c r="K15">
        <v>0</v>
      </c>
      <c r="L15">
        <v>0</v>
      </c>
      <c r="M15">
        <v>0.12</v>
      </c>
      <c r="N15">
        <v>97.83</v>
      </c>
      <c r="P15" s="5">
        <v>1.3962722626135915</v>
      </c>
      <c r="R15" s="1">
        <v>749.78594106973128</v>
      </c>
      <c r="S15" s="1">
        <v>22</v>
      </c>
      <c r="T15" s="1">
        <v>2.3607007987734585</v>
      </c>
      <c r="U15" s="1">
        <v>-12.635680196999164</v>
      </c>
      <c r="V15" s="1">
        <v>0.4</v>
      </c>
      <c r="W15" s="1">
        <v>3.240588271198888</v>
      </c>
      <c r="X15" s="1">
        <v>0.4</v>
      </c>
      <c r="Y15" s="1">
        <v>1022.9359410697313</v>
      </c>
      <c r="Z15" s="1">
        <v>-15.022560920141999</v>
      </c>
      <c r="AA15" s="1">
        <v>-15.88461997206165</v>
      </c>
      <c r="AB15" s="1">
        <v>3.2227598506931097</v>
      </c>
    </row>
    <row r="16" spans="1:28">
      <c r="A16" t="s">
        <v>40</v>
      </c>
      <c r="B16">
        <v>51.07</v>
      </c>
      <c r="C16">
        <v>1.25</v>
      </c>
      <c r="D16">
        <v>4.6900000000000004</v>
      </c>
      <c r="E16">
        <v>9.9499999999999993</v>
      </c>
      <c r="F16">
        <v>0.46</v>
      </c>
      <c r="G16">
        <v>17.62</v>
      </c>
      <c r="H16">
        <v>11.08</v>
      </c>
      <c r="I16">
        <v>1.27</v>
      </c>
      <c r="J16">
        <v>0.43</v>
      </c>
      <c r="K16">
        <v>0</v>
      </c>
      <c r="L16">
        <v>0</v>
      </c>
      <c r="M16">
        <v>0.11</v>
      </c>
      <c r="N16">
        <v>97.93</v>
      </c>
      <c r="P16" s="5">
        <v>1.3839575790025642</v>
      </c>
      <c r="R16" s="1">
        <v>768.00611284386218</v>
      </c>
      <c r="S16" s="1">
        <v>22</v>
      </c>
      <c r="T16" s="1">
        <v>2.617527913391636</v>
      </c>
      <c r="U16" s="1">
        <v>-11.960651617673481</v>
      </c>
      <c r="V16" s="1">
        <v>0.4</v>
      </c>
      <c r="W16" s="1">
        <v>3.1528585862731884</v>
      </c>
      <c r="X16" s="1">
        <v>0.4</v>
      </c>
      <c r="Y16" s="1">
        <v>1041.156112843862</v>
      </c>
      <c r="Z16" s="1">
        <v>-14.603596983483603</v>
      </c>
      <c r="AA16" s="1">
        <v>-15.458922868043992</v>
      </c>
      <c r="AB16" s="1">
        <v>3.4728537979520242</v>
      </c>
    </row>
    <row r="17" spans="1:28">
      <c r="A17" t="s">
        <v>41</v>
      </c>
      <c r="B17">
        <v>51.01</v>
      </c>
      <c r="C17">
        <v>1.2</v>
      </c>
      <c r="D17">
        <v>4.5999999999999996</v>
      </c>
      <c r="E17">
        <v>10.44</v>
      </c>
      <c r="F17">
        <v>0.44</v>
      </c>
      <c r="G17">
        <v>17.11</v>
      </c>
      <c r="H17">
        <v>11.25</v>
      </c>
      <c r="I17">
        <v>1.1299999999999999</v>
      </c>
      <c r="J17">
        <v>0.44</v>
      </c>
      <c r="K17">
        <v>0.02</v>
      </c>
      <c r="L17">
        <v>0</v>
      </c>
      <c r="M17">
        <v>0.11</v>
      </c>
      <c r="N17">
        <v>97.76</v>
      </c>
      <c r="P17" s="5">
        <v>1.3611020198047776</v>
      </c>
      <c r="R17" s="1">
        <v>755.17202062142223</v>
      </c>
      <c r="S17" s="1">
        <v>22</v>
      </c>
      <c r="T17" s="1">
        <v>2.4418813468930933</v>
      </c>
      <c r="U17" s="1">
        <v>-12.429920293808276</v>
      </c>
      <c r="V17" s="1">
        <v>0.4</v>
      </c>
      <c r="W17" s="1">
        <v>3.269282955371569</v>
      </c>
      <c r="X17" s="1">
        <v>0.4</v>
      </c>
      <c r="Y17" s="1">
        <v>1028.3220206214223</v>
      </c>
      <c r="Z17" s="1">
        <v>-14.897148243782793</v>
      </c>
      <c r="AA17" s="1">
        <v>-15.757187984873145</v>
      </c>
      <c r="AB17" s="1">
        <v>3.3019210879834455</v>
      </c>
    </row>
    <row r="18" spans="1:28">
      <c r="A18" t="s">
        <v>42</v>
      </c>
      <c r="B18">
        <v>50.09</v>
      </c>
      <c r="C18">
        <v>1.24</v>
      </c>
      <c r="D18">
        <v>5.18</v>
      </c>
      <c r="E18">
        <v>10.45</v>
      </c>
      <c r="F18">
        <v>0.37</v>
      </c>
      <c r="G18">
        <v>16.82</v>
      </c>
      <c r="H18">
        <v>11.45</v>
      </c>
      <c r="I18">
        <v>1.1100000000000001</v>
      </c>
      <c r="J18">
        <v>0.5</v>
      </c>
      <c r="K18">
        <v>0.02</v>
      </c>
      <c r="L18">
        <v>0</v>
      </c>
      <c r="M18">
        <v>0.13</v>
      </c>
      <c r="N18">
        <v>97.34</v>
      </c>
      <c r="P18" s="5">
        <v>1.5668552362474291</v>
      </c>
      <c r="R18" s="1">
        <v>767.23573079095831</v>
      </c>
      <c r="S18" s="1">
        <v>22</v>
      </c>
      <c r="T18" s="1">
        <v>2.282674387946046</v>
      </c>
      <c r="U18" s="1">
        <v>-12.309194002814056</v>
      </c>
      <c r="V18" s="1">
        <v>0.4</v>
      </c>
      <c r="W18" s="1">
        <v>3.3506741895219481</v>
      </c>
      <c r="X18" s="1">
        <v>0.4</v>
      </c>
      <c r="Y18" s="1">
        <v>1040.3857307909584</v>
      </c>
      <c r="Z18" s="1">
        <v>-14.621011231278041</v>
      </c>
      <c r="AA18" s="1">
        <v>-15.476616494679682</v>
      </c>
      <c r="AB18" s="1">
        <v>3.1382796513476867</v>
      </c>
    </row>
    <row r="19" spans="1:28">
      <c r="A19" t="s">
        <v>43</v>
      </c>
      <c r="B19">
        <v>51.6</v>
      </c>
      <c r="C19">
        <v>1.01</v>
      </c>
      <c r="D19">
        <v>4.3</v>
      </c>
      <c r="E19">
        <v>9.6999999999999993</v>
      </c>
      <c r="F19">
        <v>0.39</v>
      </c>
      <c r="G19">
        <v>17.77</v>
      </c>
      <c r="H19">
        <v>11.05</v>
      </c>
      <c r="I19">
        <v>1.1499999999999999</v>
      </c>
      <c r="J19">
        <v>0.39</v>
      </c>
      <c r="K19">
        <v>0.01</v>
      </c>
      <c r="L19">
        <v>0</v>
      </c>
      <c r="M19">
        <v>0.12</v>
      </c>
      <c r="N19">
        <v>97.49</v>
      </c>
      <c r="P19" s="5">
        <v>1.2646110776012596</v>
      </c>
      <c r="R19" s="1">
        <v>749.76117230857881</v>
      </c>
      <c r="S19" s="1">
        <v>22</v>
      </c>
      <c r="T19" s="1">
        <v>2.688866499821879</v>
      </c>
      <c r="U19" s="1">
        <v>-12.310707844262303</v>
      </c>
      <c r="V19" s="1">
        <v>0.4</v>
      </c>
      <c r="W19" s="1">
        <v>3.0721605187827059</v>
      </c>
      <c r="X19" s="1">
        <v>0.4</v>
      </c>
      <c r="Y19" s="1">
        <v>1022.9111723085788</v>
      </c>
      <c r="Z19" s="1">
        <v>-15.023140734110237</v>
      </c>
      <c r="AA19" s="1">
        <v>-15.885209133021117</v>
      </c>
      <c r="AB19" s="1">
        <v>3.5509348987327591</v>
      </c>
    </row>
    <row r="20" spans="1:28">
      <c r="A20" t="s">
        <v>44</v>
      </c>
      <c r="B20">
        <v>51.36</v>
      </c>
      <c r="C20">
        <v>1.1000000000000001</v>
      </c>
      <c r="D20">
        <v>4.58</v>
      </c>
      <c r="E20">
        <v>9.85</v>
      </c>
      <c r="F20">
        <v>0.37</v>
      </c>
      <c r="G20">
        <v>17.66</v>
      </c>
      <c r="H20">
        <v>11.01</v>
      </c>
      <c r="I20">
        <v>1.1599999999999999</v>
      </c>
      <c r="J20">
        <v>0.47</v>
      </c>
      <c r="K20">
        <v>0</v>
      </c>
      <c r="L20">
        <v>0</v>
      </c>
      <c r="M20">
        <v>0.12</v>
      </c>
      <c r="N20">
        <v>97.67</v>
      </c>
      <c r="P20" s="5">
        <v>1.3498412216644509</v>
      </c>
      <c r="R20" s="1">
        <v>756.14484242643402</v>
      </c>
      <c r="S20" s="1">
        <v>22</v>
      </c>
      <c r="T20" s="1">
        <v>2.6191478063481552</v>
      </c>
      <c r="U20" s="1">
        <v>-12.230443823292649</v>
      </c>
      <c r="V20" s="1">
        <v>0.4</v>
      </c>
      <c r="W20" s="1">
        <v>2.9772257695283155</v>
      </c>
      <c r="X20" s="1">
        <v>0.4</v>
      </c>
      <c r="Y20" s="1">
        <v>1029.2948424264341</v>
      </c>
      <c r="Z20" s="1">
        <v>-14.874637921061046</v>
      </c>
      <c r="AA20" s="1">
        <v>-15.734315669130957</v>
      </c>
      <c r="AB20" s="1">
        <v>3.4788255544180666</v>
      </c>
    </row>
    <row r="21" spans="1:28">
      <c r="A21" t="s">
        <v>45</v>
      </c>
      <c r="B21">
        <v>51.95</v>
      </c>
      <c r="C21">
        <v>1.01</v>
      </c>
      <c r="D21">
        <v>4.05</v>
      </c>
      <c r="E21">
        <v>9.4600000000000009</v>
      </c>
      <c r="F21">
        <v>0.39</v>
      </c>
      <c r="G21">
        <v>17.86</v>
      </c>
      <c r="H21">
        <v>11.26</v>
      </c>
      <c r="I21">
        <v>0.98</v>
      </c>
      <c r="J21">
        <v>0.35</v>
      </c>
      <c r="K21">
        <v>0.02</v>
      </c>
      <c r="L21">
        <v>0</v>
      </c>
      <c r="M21">
        <v>7.0000000000000007E-2</v>
      </c>
      <c r="N21">
        <v>97.38</v>
      </c>
      <c r="P21" s="5">
        <v>1.1897523624103337</v>
      </c>
      <c r="R21" s="1">
        <v>744.07174931452573</v>
      </c>
      <c r="S21" s="1">
        <v>22</v>
      </c>
      <c r="T21" s="1">
        <v>2.6855193968580533</v>
      </c>
      <c r="U21" s="1">
        <v>-12.44926594595195</v>
      </c>
      <c r="V21" s="1">
        <v>0.4</v>
      </c>
      <c r="W21" s="1">
        <v>3.1400028001631295</v>
      </c>
      <c r="X21" s="1">
        <v>0.4</v>
      </c>
      <c r="Y21" s="1">
        <v>1017.2217493145257</v>
      </c>
      <c r="Z21" s="1">
        <v>-15.157081068912367</v>
      </c>
      <c r="AA21" s="1">
        <v>-16.021311982630156</v>
      </c>
      <c r="AB21" s="1">
        <v>3.5497503105758419</v>
      </c>
    </row>
    <row r="22" spans="1:28">
      <c r="A22" t="s">
        <v>26</v>
      </c>
      <c r="R22" s="1" t="s">
        <v>46</v>
      </c>
      <c r="S22" s="1" t="s">
        <v>46</v>
      </c>
      <c r="T22" s="1" t="s">
        <v>46</v>
      </c>
      <c r="U22" s="1" t="s">
        <v>46</v>
      </c>
      <c r="V22" s="1" t="s">
        <v>46</v>
      </c>
      <c r="W22" s="1" t="s">
        <v>46</v>
      </c>
      <c r="X22" s="1" t="s">
        <v>46</v>
      </c>
      <c r="Y22" s="1"/>
      <c r="Z22" s="1"/>
      <c r="AA22" s="1"/>
      <c r="AB22" s="1"/>
    </row>
    <row r="23" spans="1:28">
      <c r="A23" t="s">
        <v>47</v>
      </c>
      <c r="B23">
        <v>54</v>
      </c>
      <c r="C23">
        <v>0.5</v>
      </c>
      <c r="D23">
        <v>2.64</v>
      </c>
      <c r="E23">
        <v>8.8699999999999992</v>
      </c>
      <c r="F23">
        <v>0.4</v>
      </c>
      <c r="G23">
        <v>18.39</v>
      </c>
      <c r="H23">
        <v>11.85</v>
      </c>
      <c r="I23">
        <v>0.72</v>
      </c>
      <c r="J23">
        <v>0.19</v>
      </c>
      <c r="K23">
        <v>0</v>
      </c>
      <c r="L23">
        <v>0</v>
      </c>
      <c r="M23">
        <v>0.05</v>
      </c>
      <c r="N23">
        <v>97.61</v>
      </c>
      <c r="P23" s="5">
        <v>0.8397313996116873</v>
      </c>
      <c r="R23" s="1">
        <v>698.75566972054253</v>
      </c>
      <c r="S23" s="1">
        <v>22</v>
      </c>
      <c r="T23" s="1">
        <v>2.8788735045462985</v>
      </c>
      <c r="U23" s="1">
        <v>-13.385160337509998</v>
      </c>
      <c r="V23" s="1">
        <v>0.4</v>
      </c>
      <c r="W23" s="1">
        <v>3.1555748861779165</v>
      </c>
      <c r="X23" s="1">
        <v>0.4</v>
      </c>
      <c r="Y23" s="1">
        <v>971.90566972054251</v>
      </c>
      <c r="Z23" s="1">
        <v>-16.280504966348211</v>
      </c>
      <c r="AA23" s="1">
        <v>-17.16332080420181</v>
      </c>
      <c r="AB23" s="1">
        <v>3.7616893423998974</v>
      </c>
    </row>
    <row r="24" spans="1:28">
      <c r="A24" t="s">
        <v>48</v>
      </c>
      <c r="B24">
        <v>51.33</v>
      </c>
      <c r="C24">
        <v>1.05</v>
      </c>
      <c r="D24">
        <v>4.4000000000000004</v>
      </c>
      <c r="E24">
        <v>10.06</v>
      </c>
      <c r="F24">
        <v>0.41</v>
      </c>
      <c r="G24">
        <v>17.329999999999998</v>
      </c>
      <c r="H24">
        <v>11.1</v>
      </c>
      <c r="I24">
        <v>1.25</v>
      </c>
      <c r="J24">
        <v>0.39</v>
      </c>
      <c r="K24">
        <v>0.01</v>
      </c>
      <c r="L24">
        <v>0</v>
      </c>
      <c r="M24">
        <v>0.12</v>
      </c>
      <c r="N24">
        <v>97.45</v>
      </c>
      <c r="P24" s="5">
        <v>1.2989618305346426</v>
      </c>
      <c r="R24" s="1">
        <v>742.85761564780887</v>
      </c>
      <c r="S24" s="1">
        <v>22</v>
      </c>
      <c r="T24" s="1">
        <v>2.5011259337313803</v>
      </c>
      <c r="U24" s="1">
        <v>-12.660292747475477</v>
      </c>
      <c r="V24" s="1">
        <v>0.4</v>
      </c>
      <c r="W24" s="1">
        <v>3.1091887301650267</v>
      </c>
      <c r="X24" s="1">
        <v>0.4</v>
      </c>
      <c r="Y24" s="1">
        <v>1016.0076156478088</v>
      </c>
      <c r="Z24" s="1">
        <v>-15.1858604787367</v>
      </c>
      <c r="AA24" s="1">
        <v>-16.050556992332488</v>
      </c>
      <c r="AB24" s="1">
        <v>3.3658224473271687</v>
      </c>
    </row>
    <row r="25" spans="1:28">
      <c r="A25" t="s">
        <v>49</v>
      </c>
      <c r="B25">
        <v>52.78</v>
      </c>
      <c r="C25">
        <v>0.6</v>
      </c>
      <c r="D25">
        <v>3.35</v>
      </c>
      <c r="E25">
        <v>9</v>
      </c>
      <c r="F25">
        <v>0.42</v>
      </c>
      <c r="G25">
        <v>18.11</v>
      </c>
      <c r="H25">
        <v>11.59</v>
      </c>
      <c r="I25">
        <v>0.81</v>
      </c>
      <c r="J25">
        <v>0.28999999999999998</v>
      </c>
      <c r="K25">
        <v>0</v>
      </c>
      <c r="L25">
        <v>0</v>
      </c>
      <c r="M25">
        <v>0.08</v>
      </c>
      <c r="N25">
        <v>97.05</v>
      </c>
      <c r="P25" s="5">
        <v>1.0045355702261887</v>
      </c>
      <c r="R25" s="1">
        <v>718.43635651786644</v>
      </c>
      <c r="S25" s="1">
        <v>22</v>
      </c>
      <c r="T25" s="1">
        <v>2.8165457826049636</v>
      </c>
      <c r="U25" s="1">
        <v>-12.943993458822641</v>
      </c>
      <c r="V25" s="1">
        <v>0.4</v>
      </c>
      <c r="W25" s="1">
        <v>3.1481756983865203</v>
      </c>
      <c r="X25" s="1">
        <v>0.4</v>
      </c>
      <c r="Y25" s="1">
        <v>991.58635651786642</v>
      </c>
      <c r="Z25" s="1">
        <v>-15.77985943048516</v>
      </c>
      <c r="AA25" s="1">
        <v>-16.654270699348988</v>
      </c>
      <c r="AB25" s="1">
        <v>3.6909570514687911</v>
      </c>
    </row>
    <row r="26" spans="1:28">
      <c r="A26" t="s">
        <v>50</v>
      </c>
      <c r="B26">
        <v>52.09</v>
      </c>
      <c r="C26">
        <v>0.82</v>
      </c>
      <c r="D26">
        <v>4.1399999999999997</v>
      </c>
      <c r="E26">
        <v>9.7100000000000009</v>
      </c>
      <c r="F26">
        <v>0.41</v>
      </c>
      <c r="G26">
        <v>17.84</v>
      </c>
      <c r="H26">
        <v>11.37</v>
      </c>
      <c r="I26">
        <v>1.1299999999999999</v>
      </c>
      <c r="J26">
        <v>0.31</v>
      </c>
      <c r="K26">
        <v>0</v>
      </c>
      <c r="L26">
        <v>0</v>
      </c>
      <c r="M26">
        <v>7.0000000000000007E-2</v>
      </c>
      <c r="N26">
        <v>97.88</v>
      </c>
      <c r="P26" s="5">
        <v>1.2114116730493472</v>
      </c>
      <c r="R26" s="1">
        <v>736.49470199430857</v>
      </c>
      <c r="S26" s="1">
        <v>22</v>
      </c>
      <c r="T26" s="1">
        <v>2.6749624203570814</v>
      </c>
      <c r="U26" s="1">
        <v>-12.639976322725719</v>
      </c>
      <c r="V26" s="1">
        <v>0.4</v>
      </c>
      <c r="W26" s="1">
        <v>3.2420952595206067</v>
      </c>
      <c r="X26" s="1">
        <v>0.4</v>
      </c>
      <c r="Y26" s="1">
        <v>1009.6447019943085</v>
      </c>
      <c r="Z26" s="1">
        <v>-15.337828742240193</v>
      </c>
      <c r="AA26" s="1">
        <v>-16.204990340431841</v>
      </c>
      <c r="AB26" s="1">
        <v>3.5421240185487299</v>
      </c>
    </row>
    <row r="27" spans="1:28">
      <c r="A27" t="s">
        <v>51</v>
      </c>
      <c r="B27">
        <v>51.52</v>
      </c>
      <c r="C27">
        <v>1.04</v>
      </c>
      <c r="D27">
        <v>4.43</v>
      </c>
      <c r="E27">
        <v>9.85</v>
      </c>
      <c r="F27">
        <v>0.42</v>
      </c>
      <c r="G27">
        <v>17.66</v>
      </c>
      <c r="H27">
        <v>11.33</v>
      </c>
      <c r="I27">
        <v>1.24</v>
      </c>
      <c r="J27">
        <v>0.37</v>
      </c>
      <c r="K27">
        <v>0.01</v>
      </c>
      <c r="L27">
        <v>0</v>
      </c>
      <c r="M27">
        <v>7.0000000000000007E-2</v>
      </c>
      <c r="N27">
        <v>97.93</v>
      </c>
      <c r="P27" s="5">
        <v>1.3000282421559199</v>
      </c>
      <c r="R27" s="1">
        <v>752.83751526704987</v>
      </c>
      <c r="S27" s="1">
        <v>22</v>
      </c>
      <c r="T27" s="1">
        <v>2.5878517086710797</v>
      </c>
      <c r="U27" s="1">
        <v>-12.339261885283305</v>
      </c>
      <c r="V27" s="1">
        <v>0.4</v>
      </c>
      <c r="W27" s="1">
        <v>3.1565732366286809</v>
      </c>
      <c r="X27" s="1">
        <v>0.4</v>
      </c>
      <c r="Y27" s="1">
        <v>1025.9875152670497</v>
      </c>
      <c r="Z27" s="1">
        <v>-14.951342845692373</v>
      </c>
      <c r="AA27" s="1">
        <v>-15.812254631771822</v>
      </c>
      <c r="AB27" s="1">
        <v>3.4487634947505281</v>
      </c>
    </row>
    <row r="28" spans="1:28">
      <c r="A28" t="s">
        <v>52</v>
      </c>
      <c r="B28">
        <v>53.71</v>
      </c>
      <c r="C28">
        <v>0.5</v>
      </c>
      <c r="D28">
        <v>2.83</v>
      </c>
      <c r="E28">
        <v>8.83</v>
      </c>
      <c r="F28">
        <v>0.41</v>
      </c>
      <c r="G28">
        <v>18.600000000000001</v>
      </c>
      <c r="H28">
        <v>11.76</v>
      </c>
      <c r="I28">
        <v>0.82</v>
      </c>
      <c r="J28">
        <v>0.22</v>
      </c>
      <c r="K28">
        <v>0</v>
      </c>
      <c r="L28">
        <v>0</v>
      </c>
      <c r="M28">
        <v>0.05</v>
      </c>
      <c r="N28">
        <v>97.73</v>
      </c>
      <c r="P28" s="5">
        <v>0.87889103267938429</v>
      </c>
      <c r="R28" s="1">
        <v>710.23524893803642</v>
      </c>
      <c r="S28" s="1">
        <v>22</v>
      </c>
      <c r="T28" s="1">
        <v>2.9798858524215284</v>
      </c>
      <c r="U28" s="1">
        <v>-12.989106228418668</v>
      </c>
      <c r="V28" s="1">
        <v>0.4</v>
      </c>
      <c r="W28" s="1">
        <v>3.0469461160875042</v>
      </c>
      <c r="X28" s="1">
        <v>0.4</v>
      </c>
      <c r="Y28" s="1">
        <v>983.3852489380364</v>
      </c>
      <c r="Z28" s="1">
        <v>-15.986022327780166</v>
      </c>
      <c r="AA28" s="1">
        <v>-16.863865983553371</v>
      </c>
      <c r="AB28" s="1">
        <v>3.8577295081947334</v>
      </c>
    </row>
    <row r="29" spans="1:28">
      <c r="A29" t="s">
        <v>53</v>
      </c>
      <c r="B29">
        <v>51.4</v>
      </c>
      <c r="C29">
        <v>0.98</v>
      </c>
      <c r="D29">
        <v>4.21</v>
      </c>
      <c r="E29">
        <v>9.93</v>
      </c>
      <c r="F29">
        <v>0.39</v>
      </c>
      <c r="G29">
        <v>17.57</v>
      </c>
      <c r="H29">
        <v>11.34</v>
      </c>
      <c r="I29">
        <v>1.1499999999999999</v>
      </c>
      <c r="J29">
        <v>0.33</v>
      </c>
      <c r="K29">
        <v>0.02</v>
      </c>
      <c r="L29">
        <v>0</v>
      </c>
      <c r="M29">
        <v>0.08</v>
      </c>
      <c r="N29">
        <v>97.39</v>
      </c>
      <c r="P29" s="5">
        <v>1.241145059832472</v>
      </c>
      <c r="R29" s="1">
        <v>750.22670820463986</v>
      </c>
      <c r="S29" s="1">
        <v>22</v>
      </c>
      <c r="T29" s="1">
        <v>2.6385560597093241</v>
      </c>
      <c r="U29" s="1">
        <v>-12.350537285723885</v>
      </c>
      <c r="V29" s="1">
        <v>0.4</v>
      </c>
      <c r="W29" s="1">
        <v>3.2716305592073311</v>
      </c>
      <c r="X29" s="1">
        <v>0.4</v>
      </c>
      <c r="Y29" s="1">
        <v>1023.3767082046398</v>
      </c>
      <c r="Z29" s="1">
        <v>-15.012247709803164</v>
      </c>
      <c r="AA29" s="1">
        <v>-15.874140524587663</v>
      </c>
      <c r="AB29" s="1">
        <v>3.5004488744938227</v>
      </c>
    </row>
    <row r="30" spans="1:28">
      <c r="A30" t="s">
        <v>54</v>
      </c>
      <c r="B30">
        <v>51.37</v>
      </c>
      <c r="C30">
        <v>0.74</v>
      </c>
      <c r="D30">
        <v>4.51</v>
      </c>
      <c r="E30">
        <v>10.4</v>
      </c>
      <c r="F30">
        <v>0.5</v>
      </c>
      <c r="G30">
        <v>17.38</v>
      </c>
      <c r="H30">
        <v>11.38</v>
      </c>
      <c r="I30">
        <v>1.21</v>
      </c>
      <c r="J30">
        <v>0.36</v>
      </c>
      <c r="K30">
        <v>0</v>
      </c>
      <c r="L30">
        <v>0</v>
      </c>
      <c r="M30">
        <v>0.09</v>
      </c>
      <c r="N30">
        <v>97.92</v>
      </c>
      <c r="P30" s="5">
        <v>1.3289035102948523</v>
      </c>
      <c r="R30" s="1">
        <v>749.22792161768393</v>
      </c>
      <c r="S30" s="1">
        <v>22</v>
      </c>
      <c r="T30" s="1">
        <v>2.5785447569803557</v>
      </c>
      <c r="U30" s="1">
        <v>-12.432240593527233</v>
      </c>
      <c r="V30" s="1">
        <v>0.4</v>
      </c>
      <c r="W30" s="1">
        <v>3.3539807834207647</v>
      </c>
      <c r="X30" s="1">
        <v>0.4</v>
      </c>
      <c r="Y30" s="1">
        <v>1022.3779216176839</v>
      </c>
      <c r="Z30" s="1">
        <v>-15.035630529466102</v>
      </c>
      <c r="AA30" s="1">
        <v>-15.897900299969999</v>
      </c>
      <c r="AB30" s="1">
        <v>3.4408145274842523</v>
      </c>
    </row>
    <row r="31" spans="1:28">
      <c r="A31" t="s">
        <v>55</v>
      </c>
      <c r="B31">
        <v>50.91</v>
      </c>
      <c r="C31">
        <v>0.88</v>
      </c>
      <c r="D31">
        <v>5.36</v>
      </c>
      <c r="E31">
        <v>9.56</v>
      </c>
      <c r="F31">
        <v>0.45</v>
      </c>
      <c r="G31">
        <v>17.04</v>
      </c>
      <c r="H31">
        <v>11.22</v>
      </c>
      <c r="I31">
        <v>1.1499999999999999</v>
      </c>
      <c r="J31">
        <v>0.35</v>
      </c>
      <c r="K31">
        <v>0</v>
      </c>
      <c r="L31">
        <v>0</v>
      </c>
      <c r="M31">
        <v>0.08</v>
      </c>
      <c r="N31">
        <v>97</v>
      </c>
      <c r="P31" s="5">
        <v>1.6228386633483818</v>
      </c>
      <c r="R31" s="1">
        <v>756.8745865178139</v>
      </c>
      <c r="S31" s="1">
        <v>22</v>
      </c>
      <c r="T31" s="1">
        <v>2.3959284147475124</v>
      </c>
      <c r="U31" s="1">
        <v>-12.431262151883898</v>
      </c>
      <c r="V31" s="1">
        <v>0.4</v>
      </c>
      <c r="W31" s="1">
        <v>4.1668215873970187</v>
      </c>
      <c r="X31" s="1">
        <v>0.4</v>
      </c>
      <c r="Y31" s="1">
        <v>1030.024586517814</v>
      </c>
      <c r="Z31" s="1">
        <v>-14.857780434111644</v>
      </c>
      <c r="AA31" s="1">
        <v>-15.717187170863818</v>
      </c>
      <c r="AB31" s="1">
        <v>3.2553351514996862</v>
      </c>
    </row>
    <row r="32" spans="1:28">
      <c r="A32" t="s">
        <v>56</v>
      </c>
      <c r="B32">
        <v>51.15</v>
      </c>
      <c r="C32">
        <v>0.89</v>
      </c>
      <c r="D32">
        <v>5.29</v>
      </c>
      <c r="E32">
        <v>9.56</v>
      </c>
      <c r="F32">
        <v>0.36</v>
      </c>
      <c r="G32">
        <v>17.22</v>
      </c>
      <c r="H32">
        <v>11.28</v>
      </c>
      <c r="I32">
        <v>1.07</v>
      </c>
      <c r="J32">
        <v>0.37</v>
      </c>
      <c r="K32">
        <v>0</v>
      </c>
      <c r="L32">
        <v>0</v>
      </c>
      <c r="M32">
        <v>0.09</v>
      </c>
      <c r="N32">
        <v>97.28</v>
      </c>
      <c r="P32" s="5">
        <v>1.5909178032058797</v>
      </c>
      <c r="R32" s="1">
        <v>754.81573821134202</v>
      </c>
      <c r="S32" s="1">
        <v>22</v>
      </c>
      <c r="T32" s="1">
        <v>2.4513623656148731</v>
      </c>
      <c r="U32" s="1">
        <v>-12.424060857369311</v>
      </c>
      <c r="V32" s="1">
        <v>0.4</v>
      </c>
      <c r="W32" s="1">
        <v>4.0811283423670908</v>
      </c>
      <c r="X32" s="1">
        <v>0.4</v>
      </c>
      <c r="Y32" s="1">
        <v>1027.9657382113419</v>
      </c>
      <c r="Z32" s="1">
        <v>-14.905403109092591</v>
      </c>
      <c r="AA32" s="1">
        <v>-15.765575629364536</v>
      </c>
      <c r="AB32" s="1">
        <v>3.3115348858868181</v>
      </c>
    </row>
    <row r="33" spans="1:28">
      <c r="A33" t="s">
        <v>57</v>
      </c>
      <c r="B33">
        <v>53.42</v>
      </c>
      <c r="C33">
        <v>0.71</v>
      </c>
      <c r="D33">
        <v>3.35</v>
      </c>
      <c r="E33">
        <v>9.17</v>
      </c>
      <c r="F33">
        <v>0.42</v>
      </c>
      <c r="G33">
        <v>17.98</v>
      </c>
      <c r="H33">
        <v>11.55</v>
      </c>
      <c r="I33">
        <v>0.81</v>
      </c>
      <c r="J33">
        <v>0.25</v>
      </c>
      <c r="K33">
        <v>0.03</v>
      </c>
      <c r="L33">
        <v>0</v>
      </c>
      <c r="M33">
        <v>7.0000000000000007E-2</v>
      </c>
      <c r="N33">
        <v>97.77</v>
      </c>
      <c r="P33" s="5">
        <v>0.99764659357918328</v>
      </c>
      <c r="R33" s="1">
        <v>715.67416557118986</v>
      </c>
      <c r="S33" s="1">
        <v>22</v>
      </c>
      <c r="T33" s="1">
        <v>2.698269894004774</v>
      </c>
      <c r="U33" s="1">
        <v>-13.131386348976982</v>
      </c>
      <c r="V33" s="1">
        <v>0.4</v>
      </c>
      <c r="W33" s="1">
        <v>3.3561662071838718</v>
      </c>
      <c r="X33" s="1">
        <v>0.4</v>
      </c>
      <c r="Y33" s="1">
        <v>988.82416557118984</v>
      </c>
      <c r="Z33" s="1">
        <v>-15.848910684528219</v>
      </c>
      <c r="AA33" s="1">
        <v>-16.724467494429355</v>
      </c>
      <c r="AB33" s="1">
        <v>3.57382670390591</v>
      </c>
    </row>
    <row r="34" spans="1:28">
      <c r="A34" t="s">
        <v>58</v>
      </c>
      <c r="B34">
        <v>52.92</v>
      </c>
      <c r="C34">
        <v>0.86</v>
      </c>
      <c r="D34">
        <v>3.89</v>
      </c>
      <c r="E34">
        <v>9.4700000000000006</v>
      </c>
      <c r="F34">
        <v>0.4</v>
      </c>
      <c r="G34">
        <v>18.04</v>
      </c>
      <c r="H34">
        <v>11.58</v>
      </c>
      <c r="I34">
        <v>0.95</v>
      </c>
      <c r="J34">
        <v>0.34</v>
      </c>
      <c r="K34">
        <v>0.02</v>
      </c>
      <c r="L34">
        <v>0</v>
      </c>
      <c r="M34">
        <v>7.0000000000000007E-2</v>
      </c>
      <c r="N34">
        <v>98.55</v>
      </c>
      <c r="P34" s="5">
        <v>1.1316359209531397</v>
      </c>
      <c r="R34" s="1">
        <v>728.86937123363873</v>
      </c>
      <c r="S34" s="1">
        <v>22</v>
      </c>
      <c r="T34" s="1">
        <v>2.6665448492529835</v>
      </c>
      <c r="U34" s="1">
        <v>-12.834418907433847</v>
      </c>
      <c r="V34" s="1">
        <v>0.4</v>
      </c>
      <c r="W34" s="1">
        <v>3.1900481718595248</v>
      </c>
      <c r="X34" s="1">
        <v>0.4</v>
      </c>
      <c r="Y34" s="1">
        <v>1002.0193712336387</v>
      </c>
      <c r="Z34" s="1">
        <v>-15.52251724683329</v>
      </c>
      <c r="AA34" s="1">
        <v>-16.392691855398169</v>
      </c>
      <c r="AB34" s="1">
        <v>3.5367194578178625</v>
      </c>
    </row>
    <row r="35" spans="1:28">
      <c r="A35" t="s">
        <v>59</v>
      </c>
      <c r="B35">
        <v>52.3</v>
      </c>
      <c r="C35">
        <v>0.8</v>
      </c>
      <c r="D35">
        <v>3.77</v>
      </c>
      <c r="E35">
        <v>9.3000000000000007</v>
      </c>
      <c r="F35">
        <v>0.35</v>
      </c>
      <c r="G35">
        <v>17.7</v>
      </c>
      <c r="H35">
        <v>11.3</v>
      </c>
      <c r="I35">
        <v>0.94</v>
      </c>
      <c r="J35">
        <v>0.3</v>
      </c>
      <c r="K35">
        <v>0.05</v>
      </c>
      <c r="L35">
        <v>0</v>
      </c>
      <c r="M35">
        <v>7.0000000000000007E-2</v>
      </c>
      <c r="N35">
        <v>96.87</v>
      </c>
      <c r="P35" s="5">
        <v>1.1154538392469429</v>
      </c>
      <c r="R35" s="1">
        <v>725.45184478556644</v>
      </c>
      <c r="S35" s="1">
        <v>22</v>
      </c>
      <c r="T35" s="1">
        <v>2.655461809285919</v>
      </c>
      <c r="U35" s="1">
        <v>-12.929436686025245</v>
      </c>
      <c r="V35" s="1">
        <v>0.4</v>
      </c>
      <c r="W35" s="1">
        <v>3.3011794943043782</v>
      </c>
      <c r="X35" s="1">
        <v>0.4</v>
      </c>
      <c r="Y35" s="1">
        <v>998.60184478556641</v>
      </c>
      <c r="Z35" s="1">
        <v>-15.60621605432236</v>
      </c>
      <c r="AA35" s="1">
        <v>-16.477763313632266</v>
      </c>
      <c r="AB35" s="1">
        <v>3.5270090685958255</v>
      </c>
    </row>
    <row r="36" spans="1:28">
      <c r="A36" t="s">
        <v>60</v>
      </c>
      <c r="B36">
        <v>52.69</v>
      </c>
      <c r="C36">
        <v>0.71</v>
      </c>
      <c r="D36">
        <v>3.49</v>
      </c>
      <c r="E36">
        <v>9.23</v>
      </c>
      <c r="F36">
        <v>0.41</v>
      </c>
      <c r="G36">
        <v>18.010000000000002</v>
      </c>
      <c r="H36">
        <v>11.67</v>
      </c>
      <c r="I36">
        <v>0.79</v>
      </c>
      <c r="J36">
        <v>0.25</v>
      </c>
      <c r="K36">
        <v>0</v>
      </c>
      <c r="L36">
        <v>0</v>
      </c>
      <c r="M36">
        <v>0.06</v>
      </c>
      <c r="N36">
        <v>97.3</v>
      </c>
      <c r="P36" s="5">
        <v>1.0377389693691046</v>
      </c>
      <c r="R36" s="1">
        <v>722.13854663032953</v>
      </c>
      <c r="S36" s="1">
        <v>22</v>
      </c>
      <c r="T36" s="1">
        <v>2.7538655355962591</v>
      </c>
      <c r="U36" s="1">
        <v>-12.914163523891418</v>
      </c>
      <c r="V36" s="1">
        <v>0.4</v>
      </c>
      <c r="W36" s="1">
        <v>3.3252843003343955</v>
      </c>
      <c r="X36" s="1">
        <v>0.4</v>
      </c>
      <c r="Y36" s="1">
        <v>995.28854663032951</v>
      </c>
      <c r="Z36" s="1">
        <v>-15.687916707984261</v>
      </c>
      <c r="AA36" s="1">
        <v>-16.560808649452429</v>
      </c>
      <c r="AB36" s="1">
        <v>3.6267574770644275</v>
      </c>
    </row>
    <row r="37" spans="1:28">
      <c r="A37" t="s">
        <v>61</v>
      </c>
      <c r="B37">
        <v>49.17</v>
      </c>
      <c r="C37">
        <v>1.26</v>
      </c>
      <c r="D37">
        <v>5.87</v>
      </c>
      <c r="E37">
        <v>11.15</v>
      </c>
      <c r="F37">
        <v>0.45</v>
      </c>
      <c r="G37">
        <v>16.010000000000002</v>
      </c>
      <c r="H37">
        <v>11.3</v>
      </c>
      <c r="I37">
        <v>1.39</v>
      </c>
      <c r="J37">
        <v>0.48</v>
      </c>
      <c r="K37">
        <v>0</v>
      </c>
      <c r="L37">
        <v>0</v>
      </c>
      <c r="M37">
        <v>0.1</v>
      </c>
      <c r="N37">
        <v>97.16</v>
      </c>
      <c r="P37" s="5">
        <v>1.8415773364515462</v>
      </c>
      <c r="R37" s="1">
        <v>782.17263306925292</v>
      </c>
      <c r="S37" s="1">
        <v>22</v>
      </c>
      <c r="T37" s="1">
        <v>1.9980374902201437</v>
      </c>
      <c r="U37" s="1">
        <v>-12.255520635953687</v>
      </c>
      <c r="V37" s="1">
        <v>0.4</v>
      </c>
      <c r="W37" s="1">
        <v>3.7698147198960879</v>
      </c>
      <c r="X37" s="1">
        <v>0.4</v>
      </c>
      <c r="Y37" s="1">
        <v>1055.3226330692528</v>
      </c>
      <c r="Z37" s="1">
        <v>-14.287948733009351</v>
      </c>
      <c r="AA37" s="1">
        <v>-15.138208061484175</v>
      </c>
      <c r="AB37" s="1">
        <v>2.8482968186949673</v>
      </c>
    </row>
    <row r="38" spans="1:28">
      <c r="A38" t="s">
        <v>62</v>
      </c>
      <c r="B38">
        <v>53.11</v>
      </c>
      <c r="C38">
        <v>0.47</v>
      </c>
      <c r="D38">
        <v>2.93</v>
      </c>
      <c r="E38">
        <v>8.66</v>
      </c>
      <c r="F38">
        <v>0.32</v>
      </c>
      <c r="G38">
        <v>18.420000000000002</v>
      </c>
      <c r="H38">
        <v>12.11</v>
      </c>
      <c r="I38">
        <v>0.62</v>
      </c>
      <c r="J38">
        <v>0.2</v>
      </c>
      <c r="K38">
        <v>0</v>
      </c>
      <c r="L38">
        <v>0</v>
      </c>
      <c r="M38">
        <v>0.05</v>
      </c>
      <c r="N38">
        <v>96.89</v>
      </c>
      <c r="P38" s="5">
        <v>0.90594347052929214</v>
      </c>
      <c r="R38" s="1">
        <v>709.47840392902731</v>
      </c>
      <c r="S38" s="1">
        <v>22</v>
      </c>
      <c r="T38" s="1">
        <v>2.9327594596630195</v>
      </c>
      <c r="U38" s="1">
        <v>-13.054862742708233</v>
      </c>
      <c r="V38" s="1">
        <v>0.4</v>
      </c>
      <c r="W38" s="1">
        <v>3.2925097420322285</v>
      </c>
      <c r="X38" s="1">
        <v>0.4</v>
      </c>
      <c r="Y38" s="1">
        <v>982.62840392902729</v>
      </c>
      <c r="Z38" s="1">
        <v>-16.005223453029746</v>
      </c>
      <c r="AA38" s="1">
        <v>-16.883388716444834</v>
      </c>
      <c r="AB38" s="1">
        <v>3.8109247230781076</v>
      </c>
    </row>
    <row r="39" spans="1:28">
      <c r="A39" t="s">
        <v>63</v>
      </c>
      <c r="B39">
        <v>53.9</v>
      </c>
      <c r="C39">
        <v>0.52</v>
      </c>
      <c r="D39">
        <v>2.93</v>
      </c>
      <c r="E39">
        <v>8.67</v>
      </c>
      <c r="F39">
        <v>0.36</v>
      </c>
      <c r="G39">
        <v>18.89</v>
      </c>
      <c r="H39">
        <v>11.56</v>
      </c>
      <c r="I39">
        <v>0.85</v>
      </c>
      <c r="J39">
        <v>0.19</v>
      </c>
      <c r="K39">
        <v>0</v>
      </c>
      <c r="L39">
        <v>0</v>
      </c>
      <c r="M39">
        <v>0.05</v>
      </c>
      <c r="N39">
        <v>97.92</v>
      </c>
      <c r="P39" s="5">
        <v>0.89791941710149681</v>
      </c>
      <c r="R39" s="1">
        <v>718.78916689856146</v>
      </c>
      <c r="S39" s="1">
        <v>22</v>
      </c>
      <c r="T39" s="1">
        <v>3.0586228027782152</v>
      </c>
      <c r="U39" s="1">
        <v>-12.695218368893631</v>
      </c>
      <c r="V39" s="1">
        <v>0.4</v>
      </c>
      <c r="W39" s="1">
        <v>3.0158542788536202</v>
      </c>
      <c r="X39" s="1">
        <v>0.4</v>
      </c>
      <c r="Y39" s="1">
        <v>991.93916689856144</v>
      </c>
      <c r="Z39" s="1">
        <v>-15.771067603597176</v>
      </c>
      <c r="AA39" s="1">
        <v>-16.645333300240079</v>
      </c>
      <c r="AB39" s="1">
        <v>3.932888499421118</v>
      </c>
    </row>
    <row r="40" spans="1:28">
      <c r="A40" t="s">
        <v>64</v>
      </c>
      <c r="B40">
        <v>51.54</v>
      </c>
      <c r="C40">
        <v>0.8</v>
      </c>
      <c r="D40">
        <v>4.29</v>
      </c>
      <c r="E40">
        <v>9.74</v>
      </c>
      <c r="F40">
        <v>0.26</v>
      </c>
      <c r="G40">
        <v>17.47</v>
      </c>
      <c r="H40">
        <v>11.69</v>
      </c>
      <c r="I40">
        <v>0.91</v>
      </c>
      <c r="J40">
        <v>0.35</v>
      </c>
      <c r="K40">
        <v>0</v>
      </c>
      <c r="L40">
        <v>0</v>
      </c>
      <c r="M40">
        <v>0.08</v>
      </c>
      <c r="N40">
        <v>97.14</v>
      </c>
      <c r="P40" s="5">
        <v>1.2661145873863195</v>
      </c>
      <c r="R40" s="1">
        <v>739.57993497334201</v>
      </c>
      <c r="S40" s="1">
        <v>22</v>
      </c>
      <c r="T40" s="1">
        <v>2.5727756966205355</v>
      </c>
      <c r="U40" s="1">
        <v>-12.667174896367094</v>
      </c>
      <c r="V40" s="1">
        <v>0.4</v>
      </c>
      <c r="W40" s="1">
        <v>3.5081698704078885</v>
      </c>
      <c r="X40" s="1">
        <v>0.4</v>
      </c>
      <c r="Y40" s="1">
        <v>1012.729934973342</v>
      </c>
      <c r="Z40" s="1">
        <v>-15.263901761331052</v>
      </c>
      <c r="AA40" s="1">
        <v>-16.129862752304383</v>
      </c>
      <c r="AB40" s="1">
        <v>3.4387366875938667</v>
      </c>
    </row>
    <row r="41" spans="1:28">
      <c r="A41" t="s">
        <v>65</v>
      </c>
      <c r="B41">
        <v>53.02</v>
      </c>
      <c r="C41">
        <v>0.44</v>
      </c>
      <c r="D41">
        <v>2.93</v>
      </c>
      <c r="E41">
        <v>8.7200000000000006</v>
      </c>
      <c r="F41">
        <v>0.23</v>
      </c>
      <c r="G41">
        <v>18.39</v>
      </c>
      <c r="H41">
        <v>11.8</v>
      </c>
      <c r="I41">
        <v>0.69</v>
      </c>
      <c r="J41">
        <v>0.18</v>
      </c>
      <c r="K41">
        <v>0</v>
      </c>
      <c r="L41">
        <v>0</v>
      </c>
      <c r="M41">
        <v>0.05</v>
      </c>
      <c r="N41">
        <v>96.46</v>
      </c>
      <c r="P41" s="5">
        <v>0.90825782700320712</v>
      </c>
      <c r="R41" s="1">
        <v>708.50262113903568</v>
      </c>
      <c r="S41" s="1">
        <v>22</v>
      </c>
      <c r="T41" s="1">
        <v>2.9617599451693932</v>
      </c>
      <c r="U41" s="1">
        <v>-13.050619084177534</v>
      </c>
      <c r="V41" s="1">
        <v>0.4</v>
      </c>
      <c r="W41" s="1">
        <v>3.235538527740113</v>
      </c>
      <c r="X41" s="1">
        <v>0.4</v>
      </c>
      <c r="Y41" s="1">
        <v>981.65262113903566</v>
      </c>
      <c r="Z41" s="1">
        <v>-16.030023162646195</v>
      </c>
      <c r="AA41" s="1">
        <v>-16.908604318106775</v>
      </c>
      <c r="AB41" s="1">
        <v>3.8403411006299732</v>
      </c>
    </row>
    <row r="42" spans="1:28">
      <c r="A42" t="s">
        <v>66</v>
      </c>
      <c r="B42">
        <v>54.31</v>
      </c>
      <c r="C42">
        <v>0.37</v>
      </c>
      <c r="D42">
        <v>2.11</v>
      </c>
      <c r="E42">
        <v>8.09</v>
      </c>
      <c r="F42">
        <v>0.21</v>
      </c>
      <c r="G42">
        <v>18.96</v>
      </c>
      <c r="H42">
        <v>11.9</v>
      </c>
      <c r="I42">
        <v>0.55000000000000004</v>
      </c>
      <c r="J42">
        <v>0.18</v>
      </c>
      <c r="K42">
        <v>0.01</v>
      </c>
      <c r="L42">
        <v>0</v>
      </c>
      <c r="M42">
        <v>0.04</v>
      </c>
      <c r="N42">
        <v>96.72</v>
      </c>
      <c r="P42" s="5">
        <v>0.74177608902974468</v>
      </c>
      <c r="R42" s="1">
        <v>693.7306862033422</v>
      </c>
      <c r="S42" s="1">
        <v>22</v>
      </c>
      <c r="T42" s="1">
        <v>3.1037911392668569</v>
      </c>
      <c r="U42" s="1">
        <v>-13.293282278737248</v>
      </c>
      <c r="V42" s="1">
        <v>0.4</v>
      </c>
      <c r="W42" s="1">
        <v>2.8059116814856253</v>
      </c>
      <c r="X42" s="1">
        <v>0.4</v>
      </c>
      <c r="Y42" s="1">
        <v>966.88068620334218</v>
      </c>
      <c r="Z42" s="1">
        <v>-16.411632471228209</v>
      </c>
      <c r="AA42" s="1">
        <v>-17.296691644591053</v>
      </c>
      <c r="AB42" s="1">
        <v>3.988850312629701</v>
      </c>
    </row>
    <row r="43" spans="1:28">
      <c r="A43" t="s">
        <v>67</v>
      </c>
      <c r="B43">
        <v>53.41</v>
      </c>
      <c r="C43">
        <v>0.47</v>
      </c>
      <c r="D43">
        <v>2.8</v>
      </c>
      <c r="E43">
        <v>8.64</v>
      </c>
      <c r="F43">
        <v>0.23</v>
      </c>
      <c r="G43">
        <v>18.61</v>
      </c>
      <c r="H43">
        <v>11.91</v>
      </c>
      <c r="I43">
        <v>0.67</v>
      </c>
      <c r="J43">
        <v>0.22</v>
      </c>
      <c r="K43">
        <v>0</v>
      </c>
      <c r="L43">
        <v>0</v>
      </c>
      <c r="M43">
        <v>0.05</v>
      </c>
      <c r="N43">
        <v>97.01</v>
      </c>
      <c r="P43" s="5">
        <v>0.87613437699153307</v>
      </c>
      <c r="R43" s="1">
        <v>709.01674200435491</v>
      </c>
      <c r="S43" s="1">
        <v>22</v>
      </c>
      <c r="T43" s="1">
        <v>3.0013511757560467</v>
      </c>
      <c r="U43" s="1">
        <v>-12.998590381411134</v>
      </c>
      <c r="V43" s="1">
        <v>0.4</v>
      </c>
      <c r="W43" s="1">
        <v>3.0623019806705543</v>
      </c>
      <c r="X43" s="1">
        <v>0.4</v>
      </c>
      <c r="Y43" s="1">
        <v>982.16674200435489</v>
      </c>
      <c r="Z43" s="1">
        <v>-16.016950475965992</v>
      </c>
      <c r="AA43" s="1">
        <v>-16.895312329721691</v>
      </c>
      <c r="AB43" s="1">
        <v>3.8797130295117457</v>
      </c>
    </row>
    <row r="44" spans="1:28">
      <c r="A44" t="s">
        <v>68</v>
      </c>
      <c r="B44">
        <v>53.4</v>
      </c>
      <c r="C44">
        <v>0.54</v>
      </c>
      <c r="D44">
        <v>2.84</v>
      </c>
      <c r="E44">
        <v>8.16</v>
      </c>
      <c r="F44">
        <v>0.22</v>
      </c>
      <c r="G44">
        <v>18.420000000000002</v>
      </c>
      <c r="H44">
        <v>11.88</v>
      </c>
      <c r="I44">
        <v>0.67</v>
      </c>
      <c r="J44">
        <v>0.21</v>
      </c>
      <c r="K44">
        <v>0</v>
      </c>
      <c r="L44">
        <v>0</v>
      </c>
      <c r="M44">
        <v>0.05</v>
      </c>
      <c r="N44">
        <v>96.39</v>
      </c>
      <c r="P44" s="5">
        <v>0.88691293577348684</v>
      </c>
      <c r="R44" s="1">
        <v>703.29076255434438</v>
      </c>
      <c r="S44" s="1">
        <v>22</v>
      </c>
      <c r="T44" s="1">
        <v>2.9060032640688283</v>
      </c>
      <c r="U44" s="1">
        <v>-13.239971087467115</v>
      </c>
      <c r="V44" s="1">
        <v>0.4</v>
      </c>
      <c r="W44" s="1">
        <v>3.2825206840043837</v>
      </c>
      <c r="X44" s="1">
        <v>0.4</v>
      </c>
      <c r="Y44" s="1">
        <v>976.44076255434436</v>
      </c>
      <c r="Z44" s="1">
        <v>-16.163331576436711</v>
      </c>
      <c r="AA44" s="1">
        <v>-17.044158526465257</v>
      </c>
      <c r="AB44" s="1">
        <v>3.7868302140973737</v>
      </c>
    </row>
    <row r="45" spans="1:28">
      <c r="A45" t="s">
        <v>69</v>
      </c>
      <c r="B45">
        <v>54.41</v>
      </c>
      <c r="C45">
        <v>0.31</v>
      </c>
      <c r="D45">
        <v>2</v>
      </c>
      <c r="E45">
        <v>8</v>
      </c>
      <c r="F45">
        <v>0.2</v>
      </c>
      <c r="G45">
        <v>19.14</v>
      </c>
      <c r="H45">
        <v>12.1</v>
      </c>
      <c r="I45">
        <v>0.5</v>
      </c>
      <c r="J45">
        <v>0.14000000000000001</v>
      </c>
      <c r="K45">
        <v>0.01</v>
      </c>
      <c r="L45">
        <v>0</v>
      </c>
      <c r="M45">
        <v>0.03</v>
      </c>
      <c r="N45">
        <v>96.83</v>
      </c>
      <c r="P45" s="5">
        <v>0.7225179818152706</v>
      </c>
      <c r="R45" s="1">
        <v>695.77065410208297</v>
      </c>
      <c r="S45" s="1">
        <v>22</v>
      </c>
      <c r="T45" s="1">
        <v>3.1940915703208308</v>
      </c>
      <c r="U45" s="1">
        <v>-13.150012807734706</v>
      </c>
      <c r="V45" s="1">
        <v>0.4</v>
      </c>
      <c r="W45" s="1">
        <v>2.9305319247213042</v>
      </c>
      <c r="X45" s="1">
        <v>0.4</v>
      </c>
      <c r="Y45" s="1">
        <v>968.92065410208295</v>
      </c>
      <c r="Z45" s="1">
        <v>-16.358233623777053</v>
      </c>
      <c r="AA45" s="1">
        <v>-17.242376937763943</v>
      </c>
      <c r="AB45" s="1">
        <v>4.0782348843077205</v>
      </c>
    </row>
    <row r="46" spans="1:28">
      <c r="A46" t="s">
        <v>70</v>
      </c>
      <c r="B46">
        <v>52.71</v>
      </c>
      <c r="C46">
        <v>0.56000000000000005</v>
      </c>
      <c r="D46">
        <v>3.26</v>
      </c>
      <c r="E46">
        <v>8.84</v>
      </c>
      <c r="F46">
        <v>0.22</v>
      </c>
      <c r="G46">
        <v>18.37</v>
      </c>
      <c r="H46">
        <v>11.86</v>
      </c>
      <c r="I46">
        <v>0.79</v>
      </c>
      <c r="J46">
        <v>0.22</v>
      </c>
      <c r="K46">
        <v>0</v>
      </c>
      <c r="L46">
        <v>0</v>
      </c>
      <c r="M46">
        <v>0.05</v>
      </c>
      <c r="N46">
        <v>96.88</v>
      </c>
      <c r="P46" s="5">
        <v>0.98291893556700272</v>
      </c>
      <c r="R46" s="1">
        <v>718.23809541257492</v>
      </c>
      <c r="S46" s="1">
        <v>22</v>
      </c>
      <c r="T46" s="1">
        <v>2.9104079159156742</v>
      </c>
      <c r="U46" s="1">
        <v>-12.85547413259485</v>
      </c>
      <c r="V46" s="1">
        <v>0.4</v>
      </c>
      <c r="W46" s="1">
        <v>3.2098943640537208</v>
      </c>
      <c r="X46" s="1">
        <v>0.4</v>
      </c>
      <c r="Y46" s="1">
        <v>991.3880954125749</v>
      </c>
      <c r="Z46" s="1">
        <v>-15.784802755136235</v>
      </c>
      <c r="AA46" s="1">
        <v>-16.659295901508212</v>
      </c>
      <c r="AB46" s="1">
        <v>3.7849010622876511</v>
      </c>
    </row>
    <row r="47" spans="1:28">
      <c r="A47" t="s">
        <v>71</v>
      </c>
      <c r="B47">
        <v>52.83</v>
      </c>
      <c r="C47">
        <v>0.62</v>
      </c>
      <c r="D47">
        <v>3.12</v>
      </c>
      <c r="E47">
        <v>9.07</v>
      </c>
      <c r="F47">
        <v>0.3</v>
      </c>
      <c r="G47">
        <v>18.059999999999999</v>
      </c>
      <c r="H47">
        <v>11.41</v>
      </c>
      <c r="I47">
        <v>0.89</v>
      </c>
      <c r="J47">
        <v>0.26</v>
      </c>
      <c r="K47">
        <v>0.01</v>
      </c>
      <c r="L47">
        <v>0</v>
      </c>
      <c r="M47">
        <v>7.0000000000000007E-2</v>
      </c>
      <c r="N47">
        <v>96.65</v>
      </c>
      <c r="P47" s="5">
        <v>0.95192287357935856</v>
      </c>
      <c r="R47" s="1">
        <v>710.52463050032611</v>
      </c>
      <c r="S47" s="1">
        <v>22</v>
      </c>
      <c r="T47" s="1">
        <v>2.8227521435720151</v>
      </c>
      <c r="U47" s="1">
        <v>-13.137485911413901</v>
      </c>
      <c r="V47" s="1">
        <v>0.4</v>
      </c>
      <c r="W47" s="1">
        <v>3.0135594883534953</v>
      </c>
      <c r="X47" s="1">
        <v>0.4</v>
      </c>
      <c r="Y47" s="1">
        <v>983.67463050032609</v>
      </c>
      <c r="Z47" s="1">
        <v>-15.978688618557971</v>
      </c>
      <c r="AA47" s="1">
        <v>-16.856409529285614</v>
      </c>
      <c r="AB47" s="1">
        <v>3.7004730542996578</v>
      </c>
    </row>
    <row r="48" spans="1:28">
      <c r="A48" t="s">
        <v>72</v>
      </c>
      <c r="R48" s="1" t="s">
        <v>46</v>
      </c>
      <c r="S48" s="1" t="s">
        <v>46</v>
      </c>
      <c r="T48" s="1" t="s">
        <v>46</v>
      </c>
      <c r="U48" s="1" t="s">
        <v>46</v>
      </c>
      <c r="V48" s="1" t="s">
        <v>46</v>
      </c>
      <c r="W48" s="1" t="s">
        <v>46</v>
      </c>
      <c r="X48" s="1" t="s">
        <v>46</v>
      </c>
      <c r="Y48" s="1"/>
      <c r="Z48" s="1"/>
      <c r="AA48" s="1"/>
      <c r="AB48" s="1"/>
    </row>
    <row r="49" spans="1:28">
      <c r="A49" t="s">
        <v>73</v>
      </c>
      <c r="B49">
        <v>41.04</v>
      </c>
      <c r="C49">
        <v>3.46</v>
      </c>
      <c r="D49">
        <v>13.58</v>
      </c>
      <c r="E49">
        <v>12.59</v>
      </c>
      <c r="F49">
        <v>0.08</v>
      </c>
      <c r="G49">
        <v>13.39</v>
      </c>
      <c r="H49">
        <v>10.45</v>
      </c>
      <c r="I49">
        <v>2.5099999999999998</v>
      </c>
      <c r="J49">
        <v>0.41</v>
      </c>
      <c r="K49">
        <v>0</v>
      </c>
      <c r="L49">
        <v>0.1</v>
      </c>
      <c r="M49">
        <v>0.02</v>
      </c>
      <c r="N49">
        <v>97.63</v>
      </c>
      <c r="P49" s="5">
        <v>6.8309135060760902</v>
      </c>
      <c r="R49" s="1">
        <v>987.24530016926474</v>
      </c>
      <c r="S49" s="1">
        <v>22</v>
      </c>
      <c r="T49" s="1">
        <v>0.49451963255010423</v>
      </c>
      <c r="U49" s="1">
        <v>-9.8342123829361583</v>
      </c>
      <c r="V49" s="1">
        <v>0.4</v>
      </c>
      <c r="W49" s="1">
        <v>6.9584638705821789</v>
      </c>
      <c r="X49" s="1">
        <v>1.0437695805873268</v>
      </c>
      <c r="Y49" s="1">
        <v>1260.3953001692648</v>
      </c>
      <c r="Z49" s="1">
        <v>-10.521641332576888</v>
      </c>
      <c r="AA49" s="1">
        <v>-11.300011586096824</v>
      </c>
      <c r="AB49" s="1">
        <v>1.2728898860700406</v>
      </c>
    </row>
    <row r="50" spans="1:28">
      <c r="A50" t="s">
        <v>74</v>
      </c>
      <c r="B50">
        <v>41.64</v>
      </c>
      <c r="C50">
        <v>3.28</v>
      </c>
      <c r="D50">
        <v>13.41</v>
      </c>
      <c r="E50">
        <v>12.58</v>
      </c>
      <c r="F50">
        <v>0.12</v>
      </c>
      <c r="G50">
        <v>13.31</v>
      </c>
      <c r="H50">
        <v>10.41</v>
      </c>
      <c r="I50">
        <v>2.4500000000000002</v>
      </c>
      <c r="J50">
        <v>0.46</v>
      </c>
      <c r="K50">
        <v>0</v>
      </c>
      <c r="L50">
        <v>0.1</v>
      </c>
      <c r="M50">
        <v>0.04</v>
      </c>
      <c r="N50">
        <v>97.8</v>
      </c>
      <c r="P50" s="5">
        <v>6.6486068110321028</v>
      </c>
      <c r="R50" s="1">
        <v>974.71550480311043</v>
      </c>
      <c r="S50" s="1">
        <v>22</v>
      </c>
      <c r="T50" s="1">
        <v>0.5077941959756691</v>
      </c>
      <c r="U50" s="1">
        <v>-10.022292284917363</v>
      </c>
      <c r="V50" s="1">
        <v>0.4</v>
      </c>
      <c r="W50" s="1">
        <v>7.0281025711272198</v>
      </c>
      <c r="X50" s="1">
        <v>1.054215385669083</v>
      </c>
      <c r="Y50" s="1">
        <v>1247.8655048031105</v>
      </c>
      <c r="Z50" s="1">
        <v>-10.7158361865479</v>
      </c>
      <c r="AA50" s="1">
        <v>-11.499044228649087</v>
      </c>
      <c r="AB50" s="1">
        <v>1.2910022380768558</v>
      </c>
    </row>
    <row r="51" spans="1:28">
      <c r="A51" t="s">
        <v>74</v>
      </c>
      <c r="B51">
        <v>43</v>
      </c>
      <c r="C51">
        <v>3.56</v>
      </c>
      <c r="D51">
        <v>14.63</v>
      </c>
      <c r="E51">
        <v>12.42</v>
      </c>
      <c r="F51">
        <v>0.12</v>
      </c>
      <c r="G51">
        <v>14.35</v>
      </c>
      <c r="H51">
        <v>10.35</v>
      </c>
      <c r="I51">
        <v>2.79</v>
      </c>
      <c r="J51">
        <v>0.47</v>
      </c>
      <c r="K51">
        <v>0</v>
      </c>
      <c r="L51">
        <v>0.15</v>
      </c>
      <c r="M51">
        <v>0.03</v>
      </c>
      <c r="N51">
        <v>101.87</v>
      </c>
      <c r="P51" s="5">
        <v>7.170095248393153</v>
      </c>
      <c r="R51" s="1">
        <v>988.38438838533671</v>
      </c>
      <c r="S51" s="1">
        <v>22</v>
      </c>
      <c r="T51" s="1">
        <v>0.63065109023697374</v>
      </c>
      <c r="U51" s="1">
        <v>-9.6640304907369465</v>
      </c>
      <c r="V51" s="1">
        <v>0.4</v>
      </c>
      <c r="W51" s="1">
        <v>6.9507084875900205</v>
      </c>
      <c r="X51" s="1">
        <v>1.0426062731385031</v>
      </c>
      <c r="Y51" s="1">
        <v>1261.5343883853366</v>
      </c>
      <c r="Z51" s="1">
        <v>-10.50418080803942</v>
      </c>
      <c r="AA51" s="1">
        <v>-11.28210589536409</v>
      </c>
      <c r="AB51" s="1">
        <v>1.4085761775616437</v>
      </c>
    </row>
    <row r="52" spans="1:28">
      <c r="A52" t="s">
        <v>75</v>
      </c>
      <c r="B52">
        <v>42.17</v>
      </c>
      <c r="C52">
        <v>2.66</v>
      </c>
      <c r="D52">
        <v>13.17</v>
      </c>
      <c r="E52">
        <v>11.27</v>
      </c>
      <c r="F52">
        <v>0.06</v>
      </c>
      <c r="G52">
        <v>14.57</v>
      </c>
      <c r="H52">
        <v>11.17</v>
      </c>
      <c r="I52">
        <v>2.66</v>
      </c>
      <c r="J52">
        <v>0.4</v>
      </c>
      <c r="K52">
        <v>0.06</v>
      </c>
      <c r="L52">
        <v>0</v>
      </c>
      <c r="M52">
        <v>0.01</v>
      </c>
      <c r="N52">
        <v>98.21</v>
      </c>
      <c r="P52" s="5">
        <v>6.3406091488619101</v>
      </c>
      <c r="R52" s="1">
        <v>984.72510637237656</v>
      </c>
      <c r="S52" s="1">
        <v>22</v>
      </c>
      <c r="T52" s="1">
        <v>0.87144820439346393</v>
      </c>
      <c r="U52" s="1">
        <v>-9.5185718798434245</v>
      </c>
      <c r="V52" s="1">
        <v>0.4</v>
      </c>
      <c r="W52" s="1">
        <v>6.5653056997689996</v>
      </c>
      <c r="X52" s="1">
        <v>0.98479585496534994</v>
      </c>
      <c r="Y52" s="1">
        <v>1257.8751063723766</v>
      </c>
      <c r="Z52" s="1">
        <v>-10.560386016680033</v>
      </c>
      <c r="AA52" s="1">
        <v>-11.339737956866026</v>
      </c>
      <c r="AB52" s="1">
        <v>1.6508001445794571</v>
      </c>
    </row>
    <row r="53" spans="1:28">
      <c r="A53" t="s">
        <v>76</v>
      </c>
      <c r="B53">
        <v>42.03</v>
      </c>
      <c r="C53">
        <v>2.8</v>
      </c>
      <c r="D53">
        <v>12.95</v>
      </c>
      <c r="E53">
        <v>10.67</v>
      </c>
      <c r="F53">
        <v>0.1</v>
      </c>
      <c r="G53">
        <v>15</v>
      </c>
      <c r="H53">
        <v>11.33</v>
      </c>
      <c r="I53">
        <v>2.57</v>
      </c>
      <c r="J53">
        <v>0.39</v>
      </c>
      <c r="K53">
        <v>0.11</v>
      </c>
      <c r="L53">
        <v>0</v>
      </c>
      <c r="M53">
        <v>0.01</v>
      </c>
      <c r="N53">
        <v>97.96</v>
      </c>
      <c r="P53" s="5">
        <v>6.1698119942318792</v>
      </c>
      <c r="R53" s="1">
        <v>989.3287732037877</v>
      </c>
      <c r="S53" s="1">
        <v>22</v>
      </c>
      <c r="T53" s="1">
        <v>0.97741579841144688</v>
      </c>
      <c r="U53" s="1">
        <v>-9.3509457122632931</v>
      </c>
      <c r="V53" s="1">
        <v>0.4</v>
      </c>
      <c r="W53" s="1">
        <v>6.2807740417283702</v>
      </c>
      <c r="X53" s="1">
        <v>0.94211610625925546</v>
      </c>
      <c r="Y53" s="1">
        <v>1262.4787732037876</v>
      </c>
      <c r="Z53" s="1">
        <v>-10.489729002280111</v>
      </c>
      <c r="AA53" s="1">
        <v>-11.267284321409928</v>
      </c>
      <c r="AB53" s="1">
        <v>1.7549711175412641</v>
      </c>
    </row>
    <row r="54" spans="1:28">
      <c r="A54" t="s">
        <v>77</v>
      </c>
      <c r="B54">
        <v>41.62</v>
      </c>
      <c r="C54">
        <v>2.71</v>
      </c>
      <c r="D54">
        <v>13.29</v>
      </c>
      <c r="E54">
        <v>11.96</v>
      </c>
      <c r="F54">
        <v>0.11</v>
      </c>
      <c r="G54">
        <v>14.18</v>
      </c>
      <c r="H54">
        <v>11.23</v>
      </c>
      <c r="I54">
        <v>2.62</v>
      </c>
      <c r="J54">
        <v>0.44</v>
      </c>
      <c r="K54">
        <v>0.02</v>
      </c>
      <c r="L54">
        <v>0</v>
      </c>
      <c r="M54">
        <v>0.02</v>
      </c>
      <c r="N54">
        <v>98.21</v>
      </c>
      <c r="P54" s="5">
        <v>6.4949044025334448</v>
      </c>
      <c r="R54" s="1">
        <v>991.0956112231429</v>
      </c>
      <c r="S54" s="1">
        <v>22</v>
      </c>
      <c r="T54" s="1">
        <v>0.76786672618364449</v>
      </c>
      <c r="U54" s="1">
        <v>-9.518080744736217</v>
      </c>
      <c r="V54" s="1">
        <v>0.4</v>
      </c>
      <c r="W54" s="1">
        <v>6.5671139147700259</v>
      </c>
      <c r="X54" s="1">
        <v>0.98506708721550384</v>
      </c>
      <c r="Y54" s="1">
        <v>1264.245611223143</v>
      </c>
      <c r="Z54" s="1">
        <v>-10.462750046518188</v>
      </c>
      <c r="AA54" s="1">
        <v>-11.239611871242294</v>
      </c>
      <c r="AB54" s="1">
        <v>1.5447285509077506</v>
      </c>
    </row>
    <row r="55" spans="1:28">
      <c r="A55" t="s">
        <v>78</v>
      </c>
      <c r="B55">
        <v>40.57</v>
      </c>
      <c r="C55">
        <v>2.74</v>
      </c>
      <c r="D55">
        <v>13.8</v>
      </c>
      <c r="E55">
        <v>12.9</v>
      </c>
      <c r="F55">
        <v>0.13</v>
      </c>
      <c r="G55">
        <v>13.5</v>
      </c>
      <c r="H55">
        <v>10.98</v>
      </c>
      <c r="I55">
        <v>2.6</v>
      </c>
      <c r="J55">
        <v>0.43</v>
      </c>
      <c r="K55">
        <v>0</v>
      </c>
      <c r="L55">
        <v>0</v>
      </c>
      <c r="M55">
        <v>0.01</v>
      </c>
      <c r="N55">
        <v>97.65</v>
      </c>
      <c r="P55" s="5">
        <v>7.0641685066912361</v>
      </c>
      <c r="R55" s="1">
        <v>1001.7861367760881</v>
      </c>
      <c r="S55" s="1">
        <v>22</v>
      </c>
      <c r="T55" s="1">
        <v>0.63091947165226969</v>
      </c>
      <c r="U55" s="1">
        <v>-9.4667680233302409</v>
      </c>
      <c r="V55" s="1">
        <v>0.4</v>
      </c>
      <c r="W55" s="1">
        <v>6.9815943465987731</v>
      </c>
      <c r="X55" s="1">
        <v>1.0472391519898159</v>
      </c>
      <c r="Y55" s="1">
        <v>1274.936136776088</v>
      </c>
      <c r="Z55" s="1">
        <v>-10.301125825077573</v>
      </c>
      <c r="AA55" s="1">
        <v>-11.073743328727167</v>
      </c>
      <c r="AB55" s="1">
        <v>1.4035369753018632</v>
      </c>
    </row>
    <row r="56" spans="1:28">
      <c r="A56" t="s">
        <v>79</v>
      </c>
      <c r="B56">
        <v>45.35</v>
      </c>
      <c r="C56">
        <v>0.91</v>
      </c>
      <c r="D56">
        <v>8.67</v>
      </c>
      <c r="E56">
        <v>18.12</v>
      </c>
      <c r="F56">
        <v>0.47</v>
      </c>
      <c r="G56">
        <v>11.74</v>
      </c>
      <c r="H56">
        <v>11.21</v>
      </c>
      <c r="I56">
        <v>1.59</v>
      </c>
      <c r="J56">
        <v>0.76</v>
      </c>
      <c r="K56">
        <v>0.01</v>
      </c>
      <c r="L56">
        <v>0</v>
      </c>
      <c r="M56">
        <v>0.02</v>
      </c>
      <c r="N56">
        <v>98.84</v>
      </c>
      <c r="P56" s="5">
        <v>3.2996731757311699</v>
      </c>
      <c r="R56" s="1">
        <v>831.75085369711951</v>
      </c>
      <c r="S56" s="1">
        <v>22</v>
      </c>
      <c r="T56" s="1">
        <v>0.8637553863835512</v>
      </c>
      <c r="U56" s="1">
        <v>-12.316532403164384</v>
      </c>
      <c r="V56" s="1">
        <v>0.4</v>
      </c>
      <c r="W56" s="1">
        <v>5.4204568457814144</v>
      </c>
      <c r="X56" s="1">
        <v>0.4</v>
      </c>
      <c r="Y56" s="1">
        <v>1104.9008536971196</v>
      </c>
      <c r="Z56" s="1">
        <v>-13.247699430734816</v>
      </c>
      <c r="AA56" s="1">
        <v>-14.080948382389025</v>
      </c>
      <c r="AB56" s="1">
        <v>1.6970043380377602</v>
      </c>
    </row>
    <row r="57" spans="1:28">
      <c r="A57" t="s">
        <v>80</v>
      </c>
      <c r="B57">
        <v>40.799999999999997</v>
      </c>
      <c r="C57">
        <v>2.86</v>
      </c>
      <c r="D57">
        <v>13.38</v>
      </c>
      <c r="E57">
        <v>13.78</v>
      </c>
      <c r="F57">
        <v>0.09</v>
      </c>
      <c r="G57">
        <v>12.93</v>
      </c>
      <c r="H57">
        <v>11.09</v>
      </c>
      <c r="I57">
        <v>2.61</v>
      </c>
      <c r="J57">
        <v>0.43</v>
      </c>
      <c r="K57">
        <v>0</v>
      </c>
      <c r="L57">
        <v>0.01</v>
      </c>
      <c r="M57">
        <v>0.02</v>
      </c>
      <c r="N57">
        <v>98</v>
      </c>
      <c r="P57" s="5">
        <v>6.702605949044214</v>
      </c>
      <c r="R57" s="1">
        <v>990.6327757233089</v>
      </c>
      <c r="S57" s="1">
        <v>22</v>
      </c>
      <c r="T57" s="1">
        <v>0.41432076194749623</v>
      </c>
      <c r="U57" s="1">
        <v>-9.8681637572114091</v>
      </c>
      <c r="V57" s="1">
        <v>0.4</v>
      </c>
      <c r="W57" s="1">
        <v>6.8937250814495457</v>
      </c>
      <c r="X57" s="1">
        <v>1.0340587622174318</v>
      </c>
      <c r="Y57" s="1">
        <v>1263.782775723309</v>
      </c>
      <c r="Z57" s="1">
        <v>-10.46980998255915</v>
      </c>
      <c r="AA57" s="1">
        <v>-11.246853687853131</v>
      </c>
      <c r="AB57" s="1">
        <v>1.1913644672414767</v>
      </c>
    </row>
    <row r="58" spans="1:28">
      <c r="A58" t="s">
        <v>81</v>
      </c>
      <c r="B58">
        <v>41.38</v>
      </c>
      <c r="C58">
        <v>2.83</v>
      </c>
      <c r="D58">
        <v>13.53</v>
      </c>
      <c r="E58">
        <v>13.39</v>
      </c>
      <c r="F58">
        <v>7.0000000000000007E-2</v>
      </c>
      <c r="G58">
        <v>13.15</v>
      </c>
      <c r="H58">
        <v>11.08</v>
      </c>
      <c r="I58">
        <v>2.57</v>
      </c>
      <c r="J58">
        <v>0.44</v>
      </c>
      <c r="K58">
        <v>0</v>
      </c>
      <c r="L58">
        <v>0</v>
      </c>
      <c r="M58">
        <v>0.02</v>
      </c>
      <c r="N58">
        <v>98.47</v>
      </c>
      <c r="P58" s="5">
        <v>6.7340540772614874</v>
      </c>
      <c r="R58" s="1">
        <v>986.60009223187217</v>
      </c>
      <c r="S58" s="1">
        <v>22</v>
      </c>
      <c r="T58" s="1">
        <v>0.46458114813471685</v>
      </c>
      <c r="U58" s="1">
        <v>-9.8770719929547255</v>
      </c>
      <c r="V58" s="1">
        <v>0.4</v>
      </c>
      <c r="W58" s="1">
        <v>7.0718946143987775</v>
      </c>
      <c r="X58" s="1">
        <v>1.0607841921598167</v>
      </c>
      <c r="Y58" s="1">
        <v>1259.7500922318723</v>
      </c>
      <c r="Z58" s="1">
        <v>-10.531545602243957</v>
      </c>
      <c r="AA58" s="1">
        <v>-11.310167604755105</v>
      </c>
      <c r="AB58" s="1">
        <v>1.2432031506458641</v>
      </c>
    </row>
    <row r="59" spans="1:28">
      <c r="A59" t="s">
        <v>82</v>
      </c>
      <c r="B59">
        <v>42.02</v>
      </c>
      <c r="C59">
        <v>2.88</v>
      </c>
      <c r="D59">
        <v>13.27</v>
      </c>
      <c r="E59">
        <v>10.97</v>
      </c>
      <c r="F59">
        <v>0.13</v>
      </c>
      <c r="G59">
        <v>14.53</v>
      </c>
      <c r="H59">
        <v>11.15</v>
      </c>
      <c r="I59">
        <v>2.63</v>
      </c>
      <c r="J59">
        <v>0.38</v>
      </c>
      <c r="K59">
        <v>7.0000000000000007E-2</v>
      </c>
      <c r="L59">
        <v>0</v>
      </c>
      <c r="M59">
        <v>0.02</v>
      </c>
      <c r="N59">
        <v>98.05</v>
      </c>
      <c r="P59" s="5">
        <v>6.4308678038823999</v>
      </c>
      <c r="R59" s="1">
        <v>989.00167582983045</v>
      </c>
      <c r="S59" s="1">
        <v>22</v>
      </c>
      <c r="T59" s="1">
        <v>0.80352294801559587</v>
      </c>
      <c r="U59" s="1">
        <v>-9.5165658718779831</v>
      </c>
      <c r="V59" s="1">
        <v>0.4</v>
      </c>
      <c r="W59" s="1">
        <v>6.6910742255843534</v>
      </c>
      <c r="X59" s="1">
        <v>1.0036611338376529</v>
      </c>
      <c r="Y59" s="1">
        <v>1262.1516758298303</v>
      </c>
      <c r="Z59" s="1">
        <v>-10.494732053009153</v>
      </c>
      <c r="AA59" s="1">
        <v>-11.272415516552257</v>
      </c>
      <c r="AB59" s="1">
        <v>1.5812064115586999</v>
      </c>
    </row>
    <row r="60" spans="1:28">
      <c r="A60" t="s">
        <v>83</v>
      </c>
      <c r="B60">
        <v>41.8</v>
      </c>
      <c r="C60">
        <v>2.89</v>
      </c>
      <c r="D60">
        <v>13.26</v>
      </c>
      <c r="E60">
        <v>11.07</v>
      </c>
      <c r="F60">
        <v>0.11</v>
      </c>
      <c r="G60">
        <v>14.38</v>
      </c>
      <c r="H60">
        <v>11.17</v>
      </c>
      <c r="I60">
        <v>2.65</v>
      </c>
      <c r="J60">
        <v>0.38</v>
      </c>
      <c r="K60">
        <v>0.02</v>
      </c>
      <c r="L60">
        <v>0</v>
      </c>
      <c r="M60">
        <v>0.01</v>
      </c>
      <c r="N60">
        <v>97.75</v>
      </c>
      <c r="P60" s="5">
        <v>6.4661215470752422</v>
      </c>
      <c r="R60" s="1">
        <v>990.94184145495365</v>
      </c>
      <c r="S60" s="1">
        <v>22</v>
      </c>
      <c r="T60" s="1">
        <v>0.75336106932296953</v>
      </c>
      <c r="U60" s="1">
        <v>-9.5351525118480573</v>
      </c>
      <c r="V60" s="1">
        <v>0.4</v>
      </c>
      <c r="W60" s="1">
        <v>6.7060085508637526</v>
      </c>
      <c r="X60" s="1">
        <v>1.0059012826295628</v>
      </c>
      <c r="Y60" s="1">
        <v>1264.0918414549537</v>
      </c>
      <c r="Z60" s="1">
        <v>-10.46509501742171</v>
      </c>
      <c r="AA60" s="1">
        <v>-11.242017286049679</v>
      </c>
      <c r="AB60" s="1">
        <v>1.5302833379509382</v>
      </c>
    </row>
    <row r="61" spans="1:28">
      <c r="A61" t="s">
        <v>84</v>
      </c>
      <c r="B61">
        <v>44.99</v>
      </c>
      <c r="C61">
        <v>0.85</v>
      </c>
      <c r="D61">
        <v>10.67</v>
      </c>
      <c r="E61">
        <v>15.72</v>
      </c>
      <c r="F61">
        <v>0.28000000000000003</v>
      </c>
      <c r="G61">
        <v>12.47</v>
      </c>
      <c r="H61">
        <v>10.35</v>
      </c>
      <c r="I61">
        <v>1.98</v>
      </c>
      <c r="J61">
        <v>0.53</v>
      </c>
      <c r="K61">
        <v>0.02</v>
      </c>
      <c r="L61">
        <v>0</v>
      </c>
      <c r="M61">
        <v>0.03</v>
      </c>
      <c r="N61">
        <v>97.88</v>
      </c>
      <c r="P61" s="5">
        <v>4.5517289455668575</v>
      </c>
      <c r="R61" s="1">
        <v>862.30343566951774</v>
      </c>
      <c r="S61" s="1">
        <v>22</v>
      </c>
      <c r="T61" s="1">
        <v>1.0310251334985052</v>
      </c>
      <c r="U61" s="1">
        <v>-11.516370752017291</v>
      </c>
      <c r="V61" s="1">
        <v>0.4</v>
      </c>
      <c r="W61" s="1">
        <v>6.9555996283462811</v>
      </c>
      <c r="X61" s="1">
        <v>1.0433399442519422</v>
      </c>
      <c r="Y61" s="1">
        <v>1135.4534356695176</v>
      </c>
      <c r="Z61" s="1">
        <v>-12.652388185792253</v>
      </c>
      <c r="AA61" s="1">
        <v>-13.475374980585139</v>
      </c>
      <c r="AB61" s="1">
        <v>1.8540119282913912</v>
      </c>
    </row>
    <row r="62" spans="1:28">
      <c r="A62" t="s">
        <v>85</v>
      </c>
      <c r="B62">
        <v>44.14</v>
      </c>
      <c r="C62">
        <v>0.93</v>
      </c>
      <c r="D62">
        <v>10.99</v>
      </c>
      <c r="E62">
        <v>15.56</v>
      </c>
      <c r="F62">
        <v>0.31</v>
      </c>
      <c r="G62">
        <v>12.46</v>
      </c>
      <c r="H62">
        <v>10.62</v>
      </c>
      <c r="I62">
        <v>1.92</v>
      </c>
      <c r="J62">
        <v>0.54</v>
      </c>
      <c r="K62">
        <v>0</v>
      </c>
      <c r="L62">
        <v>0</v>
      </c>
      <c r="M62">
        <v>0.04</v>
      </c>
      <c r="N62">
        <v>97.51</v>
      </c>
      <c r="P62" s="5">
        <v>4.8269399352863598</v>
      </c>
      <c r="R62" s="1">
        <v>881.1220762272917</v>
      </c>
      <c r="S62" s="1">
        <v>22</v>
      </c>
      <c r="T62" s="1">
        <v>0.99771747074104766</v>
      </c>
      <c r="U62" s="1">
        <v>-11.190273039208183</v>
      </c>
      <c r="V62" s="1">
        <v>0.4</v>
      </c>
      <c r="W62" s="1">
        <v>7.0379244480133183</v>
      </c>
      <c r="X62" s="1">
        <v>1.0556886672019976</v>
      </c>
      <c r="Y62" s="1">
        <v>1154.2720762272916</v>
      </c>
      <c r="Z62" s="1">
        <v>-12.301576320650474</v>
      </c>
      <c r="AA62" s="1">
        <v>-13.118210225801972</v>
      </c>
      <c r="AB62" s="1">
        <v>1.8143513758925458</v>
      </c>
    </row>
    <row r="63" spans="1:28">
      <c r="A63" t="s">
        <v>86</v>
      </c>
      <c r="B63">
        <v>42.04</v>
      </c>
      <c r="C63">
        <v>2.37</v>
      </c>
      <c r="D63">
        <v>12.1</v>
      </c>
      <c r="E63">
        <v>13.96</v>
      </c>
      <c r="F63">
        <v>0.21</v>
      </c>
      <c r="G63">
        <v>13.28</v>
      </c>
      <c r="H63">
        <v>11.33</v>
      </c>
      <c r="I63">
        <v>2.38</v>
      </c>
      <c r="J63">
        <v>0.51</v>
      </c>
      <c r="K63">
        <v>0</v>
      </c>
      <c r="L63">
        <v>0</v>
      </c>
      <c r="M63">
        <v>0.03</v>
      </c>
      <c r="N63">
        <v>98.21</v>
      </c>
      <c r="P63" s="5">
        <v>5.6186194424577582</v>
      </c>
      <c r="R63" s="1">
        <v>957.50905825935433</v>
      </c>
      <c r="S63" s="1">
        <v>22</v>
      </c>
      <c r="T63" s="1">
        <v>0.68259828937281153</v>
      </c>
      <c r="U63" s="1">
        <v>-10.166773297838063</v>
      </c>
      <c r="V63" s="1">
        <v>0.4</v>
      </c>
      <c r="W63" s="1">
        <v>6.2159966021390067</v>
      </c>
      <c r="X63" s="1">
        <v>0.93239949032085101</v>
      </c>
      <c r="Y63" s="1">
        <v>1230.6590582593544</v>
      </c>
      <c r="Z63" s="1">
        <v>-10.989041816264585</v>
      </c>
      <c r="AA63" s="1">
        <v>-11.778726560580679</v>
      </c>
      <c r="AB63" s="1">
        <v>1.4722830336889059</v>
      </c>
    </row>
    <row r="64" spans="1:28">
      <c r="A64" t="s">
        <v>87</v>
      </c>
      <c r="B64">
        <v>45.26</v>
      </c>
      <c r="C64">
        <v>1</v>
      </c>
      <c r="D64">
        <v>8.74</v>
      </c>
      <c r="E64">
        <v>17.86</v>
      </c>
      <c r="F64">
        <v>0.42</v>
      </c>
      <c r="G64">
        <v>11.61</v>
      </c>
      <c r="H64">
        <v>11.28</v>
      </c>
      <c r="I64">
        <v>1.55</v>
      </c>
      <c r="J64">
        <v>0.76</v>
      </c>
      <c r="K64">
        <v>0</v>
      </c>
      <c r="L64">
        <v>0</v>
      </c>
      <c r="M64">
        <v>0.03</v>
      </c>
      <c r="N64">
        <v>98.5</v>
      </c>
      <c r="P64" s="5">
        <v>3.3527966182174294</v>
      </c>
      <c r="R64" s="1">
        <v>833.51962723293173</v>
      </c>
      <c r="S64" s="1">
        <v>22</v>
      </c>
      <c r="T64" s="1">
        <v>0.77936355052329542</v>
      </c>
      <c r="U64" s="1">
        <v>-12.363805715997426</v>
      </c>
      <c r="V64" s="1">
        <v>0.4</v>
      </c>
      <c r="W64" s="1">
        <v>5.598707766999607</v>
      </c>
      <c r="X64" s="1">
        <v>0.4</v>
      </c>
      <c r="Y64" s="1">
        <v>1106.6696272329318</v>
      </c>
      <c r="Z64" s="1">
        <v>-13.212328271585658</v>
      </c>
      <c r="AA64" s="1">
        <v>-14.044982032887152</v>
      </c>
      <c r="AB64" s="1">
        <v>1.6120173118247889</v>
      </c>
    </row>
    <row r="65" spans="1:28">
      <c r="A65" t="s">
        <v>88</v>
      </c>
      <c r="B65">
        <v>45.19</v>
      </c>
      <c r="C65">
        <v>0.95</v>
      </c>
      <c r="D65">
        <v>8.51</v>
      </c>
      <c r="E65">
        <v>17.93</v>
      </c>
      <c r="F65">
        <v>0.41</v>
      </c>
      <c r="G65">
        <v>11.82</v>
      </c>
      <c r="H65">
        <v>11.29</v>
      </c>
      <c r="I65">
        <v>1.58</v>
      </c>
      <c r="J65">
        <v>0.7</v>
      </c>
      <c r="K65">
        <v>0</v>
      </c>
      <c r="L65">
        <v>0</v>
      </c>
      <c r="M65">
        <v>0.03</v>
      </c>
      <c r="N65">
        <v>98.41</v>
      </c>
      <c r="P65" s="5">
        <v>3.2258693946581882</v>
      </c>
      <c r="R65" s="1">
        <v>832.17022038309256</v>
      </c>
      <c r="S65" s="1">
        <v>22</v>
      </c>
      <c r="T65" s="1">
        <v>0.88088450341045377</v>
      </c>
      <c r="U65" s="1">
        <v>-12.293013049316528</v>
      </c>
      <c r="V65" s="1">
        <v>0.4</v>
      </c>
      <c r="W65" s="1">
        <v>5.4081386285625035</v>
      </c>
      <c r="X65" s="1">
        <v>0.4</v>
      </c>
      <c r="Y65" s="1">
        <v>1105.3202203830924</v>
      </c>
      <c r="Z65" s="1">
        <v>-13.239302762543092</v>
      </c>
      <c r="AA65" s="1">
        <v>-14.072410564391852</v>
      </c>
      <c r="AB65" s="1">
        <v>1.7139923052592136</v>
      </c>
    </row>
    <row r="66" spans="1:28">
      <c r="A66" t="s">
        <v>89</v>
      </c>
      <c r="B66">
        <v>42.45</v>
      </c>
      <c r="C66">
        <v>2.92</v>
      </c>
      <c r="D66">
        <v>13.26</v>
      </c>
      <c r="E66">
        <v>11.01</v>
      </c>
      <c r="F66">
        <v>0.11</v>
      </c>
      <c r="G66">
        <v>14.74</v>
      </c>
      <c r="H66">
        <v>11.34</v>
      </c>
      <c r="I66">
        <v>2.62</v>
      </c>
      <c r="J66">
        <v>0.44</v>
      </c>
      <c r="K66">
        <v>0</v>
      </c>
      <c r="L66">
        <v>0</v>
      </c>
      <c r="M66">
        <v>0.01</v>
      </c>
      <c r="N66">
        <v>98.91</v>
      </c>
      <c r="P66" s="5">
        <v>6.3265623209679642</v>
      </c>
      <c r="R66" s="1">
        <v>988.41943850847451</v>
      </c>
      <c r="S66" s="1">
        <v>22</v>
      </c>
      <c r="T66" s="1">
        <v>0.81929271890339361</v>
      </c>
      <c r="U66" s="1">
        <v>-9.5144308630522474</v>
      </c>
      <c r="V66" s="1">
        <v>0.4</v>
      </c>
      <c r="W66" s="1">
        <v>6.4752336405027489</v>
      </c>
      <c r="X66" s="1">
        <v>0.97128504607541233</v>
      </c>
      <c r="Y66" s="1">
        <v>1261.5694385084744</v>
      </c>
      <c r="Z66" s="1">
        <v>-10.503644048543334</v>
      </c>
      <c r="AA66" s="1">
        <v>-11.281555423464024</v>
      </c>
      <c r="AB66" s="1">
        <v>1.5972040938240832</v>
      </c>
    </row>
    <row r="67" spans="1:28">
      <c r="A67" t="s">
        <v>90</v>
      </c>
      <c r="B67">
        <v>41.44</v>
      </c>
      <c r="C67">
        <v>2.94</v>
      </c>
      <c r="D67">
        <v>13.57</v>
      </c>
      <c r="E67">
        <v>12.44</v>
      </c>
      <c r="F67">
        <v>0.1</v>
      </c>
      <c r="G67">
        <v>13.91</v>
      </c>
      <c r="H67">
        <v>11.25</v>
      </c>
      <c r="I67">
        <v>2.62</v>
      </c>
      <c r="J67">
        <v>0.38</v>
      </c>
      <c r="K67">
        <v>0</v>
      </c>
      <c r="L67">
        <v>0</v>
      </c>
      <c r="M67">
        <v>0.01</v>
      </c>
      <c r="N67">
        <v>98.65</v>
      </c>
      <c r="P67" s="5">
        <v>6.7014995067043959</v>
      </c>
      <c r="R67" s="1">
        <v>996.42862951641337</v>
      </c>
      <c r="S67" s="1">
        <v>22</v>
      </c>
      <c r="T67" s="1">
        <v>0.63115669904588767</v>
      </c>
      <c r="U67" s="1">
        <v>-9.5641546518093605</v>
      </c>
      <c r="V67" s="1">
        <v>0.4</v>
      </c>
      <c r="W67" s="1">
        <v>6.8562480710796745</v>
      </c>
      <c r="X67" s="1">
        <v>1.028437210661951</v>
      </c>
      <c r="Y67" s="1">
        <v>1269.5786295164135</v>
      </c>
      <c r="Z67" s="1">
        <v>-10.381778279731076</v>
      </c>
      <c r="AA67" s="1">
        <v>-11.156533261339508</v>
      </c>
      <c r="AB67" s="1">
        <v>1.4059116806543193</v>
      </c>
    </row>
    <row r="68" spans="1:28">
      <c r="A68" t="s">
        <v>91</v>
      </c>
      <c r="B68">
        <v>42.07</v>
      </c>
      <c r="C68">
        <v>2.63</v>
      </c>
      <c r="D68">
        <v>13.07</v>
      </c>
      <c r="E68">
        <v>13.38</v>
      </c>
      <c r="F68">
        <v>0.13</v>
      </c>
      <c r="G68">
        <v>13.18</v>
      </c>
      <c r="H68">
        <v>11.27</v>
      </c>
      <c r="I68">
        <v>2.57</v>
      </c>
      <c r="J68">
        <v>0.44</v>
      </c>
      <c r="K68">
        <v>0.01</v>
      </c>
      <c r="L68">
        <v>0</v>
      </c>
      <c r="M68">
        <v>0.02</v>
      </c>
      <c r="N68">
        <v>98.77</v>
      </c>
      <c r="P68" s="5">
        <v>6.3033785417189296</v>
      </c>
      <c r="R68" s="1">
        <v>973.6574752258598</v>
      </c>
      <c r="S68" s="1">
        <v>22</v>
      </c>
      <c r="T68" s="1">
        <v>0.47964808482274002</v>
      </c>
      <c r="U68" s="1">
        <v>-10.081873831531521</v>
      </c>
      <c r="V68" s="1">
        <v>0.4</v>
      </c>
      <c r="W68" s="1">
        <v>6.9627572270242766</v>
      </c>
      <c r="X68" s="1">
        <v>1.0444135840536415</v>
      </c>
      <c r="Y68" s="1">
        <v>1246.8074752258599</v>
      </c>
      <c r="Z68" s="1">
        <v>-10.73241527570613</v>
      </c>
      <c r="AA68" s="1">
        <v>-11.516026999301795</v>
      </c>
      <c r="AB68" s="1">
        <v>1.2632598084184057</v>
      </c>
    </row>
    <row r="69" spans="1:28">
      <c r="A69" t="s">
        <v>92</v>
      </c>
      <c r="B69">
        <v>42.2</v>
      </c>
      <c r="C69">
        <v>2.94</v>
      </c>
      <c r="D69">
        <v>13.29</v>
      </c>
      <c r="E69">
        <v>11.23</v>
      </c>
      <c r="F69">
        <v>0.08</v>
      </c>
      <c r="G69">
        <v>14.22</v>
      </c>
      <c r="H69">
        <v>11.26</v>
      </c>
      <c r="I69">
        <v>2.57</v>
      </c>
      <c r="J69">
        <v>0.48</v>
      </c>
      <c r="K69">
        <v>0.11</v>
      </c>
      <c r="L69">
        <v>0</v>
      </c>
      <c r="M69">
        <v>0.01</v>
      </c>
      <c r="N69">
        <v>98.38</v>
      </c>
      <c r="P69" s="5">
        <v>6.4213792440129778</v>
      </c>
      <c r="R69" s="1">
        <v>986.57222365340954</v>
      </c>
      <c r="S69" s="1">
        <v>22</v>
      </c>
      <c r="T69" s="1">
        <v>0.6678014822869649</v>
      </c>
      <c r="U69" s="1">
        <v>-9.6882973299736044</v>
      </c>
      <c r="V69" s="1">
        <v>0.4</v>
      </c>
      <c r="W69" s="1">
        <v>6.680470215926098</v>
      </c>
      <c r="X69" s="1">
        <v>1.0020705323889147</v>
      </c>
      <c r="Y69" s="1">
        <v>1259.7222236534094</v>
      </c>
      <c r="Z69" s="1">
        <v>-10.531973630681071</v>
      </c>
      <c r="AA69" s="1">
        <v>-11.310606500462962</v>
      </c>
      <c r="AB69" s="1">
        <v>1.4464343520688558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59"/>
  <sheetViews>
    <sheetView workbookViewId="0">
      <pane ySplit="1080" activePane="bottomLeft"/>
      <selection pane="bottomLeft" activeCell="A2" sqref="A2"/>
    </sheetView>
  </sheetViews>
  <sheetFormatPr baseColWidth="10" defaultColWidth="11" defaultRowHeight="16"/>
  <sheetData>
    <row r="1" spans="1:62" s="6" customFormat="1" ht="16" customHeight="1">
      <c r="A1" s="6" t="s">
        <v>93</v>
      </c>
      <c r="B1" s="6" t="s">
        <v>94</v>
      </c>
      <c r="C1" s="6" t="s">
        <v>95</v>
      </c>
      <c r="D1" s="6" t="s">
        <v>96</v>
      </c>
      <c r="E1" s="7" t="s">
        <v>97</v>
      </c>
      <c r="F1" s="6" t="s">
        <v>98</v>
      </c>
      <c r="G1" s="8" t="s">
        <v>99</v>
      </c>
      <c r="H1" s="6" t="s">
        <v>100</v>
      </c>
      <c r="I1" s="6" t="s">
        <v>101</v>
      </c>
      <c r="J1" s="6" t="s">
        <v>102</v>
      </c>
      <c r="K1" s="6" t="s">
        <v>103</v>
      </c>
      <c r="L1" s="6" t="s">
        <v>104</v>
      </c>
      <c r="M1" s="6" t="s">
        <v>105</v>
      </c>
      <c r="N1" s="6" t="s">
        <v>106</v>
      </c>
      <c r="O1" s="9" t="s">
        <v>107</v>
      </c>
      <c r="P1" s="6" t="s">
        <v>108</v>
      </c>
      <c r="Q1" s="6" t="s">
        <v>109</v>
      </c>
      <c r="R1" s="6" t="s">
        <v>110</v>
      </c>
      <c r="S1" s="6" t="s">
        <v>111</v>
      </c>
      <c r="T1" s="6" t="s">
        <v>112</v>
      </c>
      <c r="U1" s="6" t="s">
        <v>113</v>
      </c>
      <c r="V1" s="6" t="s">
        <v>114</v>
      </c>
      <c r="W1" s="6" t="s">
        <v>115</v>
      </c>
      <c r="X1" s="6" t="s">
        <v>116</v>
      </c>
      <c r="Y1" s="6" t="s">
        <v>117</v>
      </c>
      <c r="Z1" s="6" t="s">
        <v>118</v>
      </c>
      <c r="AA1" s="6" t="s">
        <v>119</v>
      </c>
      <c r="AB1" s="6" t="s">
        <v>120</v>
      </c>
      <c r="AC1" s="6" t="s">
        <v>121</v>
      </c>
      <c r="AD1" s="6" t="s">
        <v>122</v>
      </c>
      <c r="AE1" s="6" t="s">
        <v>123</v>
      </c>
      <c r="AF1" s="6" t="s">
        <v>124</v>
      </c>
      <c r="AG1" s="6" t="s">
        <v>125</v>
      </c>
      <c r="AH1" s="6" t="s">
        <v>126</v>
      </c>
      <c r="AI1" s="10" t="s">
        <v>127</v>
      </c>
      <c r="AJ1" s="10" t="s">
        <v>128</v>
      </c>
      <c r="AK1" s="10" t="s">
        <v>129</v>
      </c>
      <c r="AL1" s="10" t="s">
        <v>130</v>
      </c>
      <c r="AM1" s="10" t="s">
        <v>131</v>
      </c>
      <c r="AN1" s="10" t="s">
        <v>132</v>
      </c>
      <c r="AO1" s="10" t="s">
        <v>133</v>
      </c>
      <c r="AP1" s="10" t="s">
        <v>134</v>
      </c>
      <c r="AQ1" s="10" t="s">
        <v>135</v>
      </c>
      <c r="AR1" s="10" t="s">
        <v>136</v>
      </c>
      <c r="AS1" s="10" t="s">
        <v>137</v>
      </c>
      <c r="AT1" s="10" t="s">
        <v>138</v>
      </c>
      <c r="AU1" s="10" t="s">
        <v>139</v>
      </c>
      <c r="AV1" s="10" t="s">
        <v>140</v>
      </c>
      <c r="AW1" s="11" t="s">
        <v>141</v>
      </c>
      <c r="AX1" s="10" t="s">
        <v>142</v>
      </c>
      <c r="AY1" s="6" t="s">
        <v>143</v>
      </c>
      <c r="AZ1" s="6" t="s">
        <v>144</v>
      </c>
      <c r="BA1" s="6" t="s">
        <v>145</v>
      </c>
      <c r="BB1" s="12" t="s">
        <v>146</v>
      </c>
      <c r="BC1" s="6" t="s">
        <v>147</v>
      </c>
      <c r="BD1" s="13" t="s">
        <v>148</v>
      </c>
      <c r="BE1" s="6" t="s">
        <v>149</v>
      </c>
      <c r="BH1" s="6" t="s">
        <v>150</v>
      </c>
    </row>
    <row r="2" spans="1:62" s="6" customFormat="1" ht="16" customHeight="1">
      <c r="E2" s="34"/>
      <c r="G2" s="34"/>
      <c r="H2" s="6" t="s">
        <v>151</v>
      </c>
      <c r="I2" s="6" t="s">
        <v>152</v>
      </c>
      <c r="J2" s="6" t="s">
        <v>153</v>
      </c>
      <c r="K2" s="6" t="s">
        <v>153</v>
      </c>
      <c r="L2" s="6" t="s">
        <v>153</v>
      </c>
      <c r="M2" s="6" t="s">
        <v>153</v>
      </c>
      <c r="N2" s="6" t="s">
        <v>153</v>
      </c>
      <c r="O2" s="6" t="s">
        <v>153</v>
      </c>
      <c r="P2" s="6" t="s">
        <v>153</v>
      </c>
      <c r="Q2" s="6" t="s">
        <v>153</v>
      </c>
      <c r="R2" s="6" t="s">
        <v>153</v>
      </c>
      <c r="S2" s="6" t="s">
        <v>153</v>
      </c>
      <c r="T2" s="6" t="s">
        <v>153</v>
      </c>
      <c r="U2" s="6" t="s">
        <v>153</v>
      </c>
      <c r="V2" s="6" t="s">
        <v>153</v>
      </c>
      <c r="W2" s="6" t="s">
        <v>153</v>
      </c>
      <c r="X2" s="6" t="s">
        <v>153</v>
      </c>
      <c r="Y2" s="6" t="s">
        <v>153</v>
      </c>
      <c r="Z2" s="6" t="s">
        <v>153</v>
      </c>
      <c r="AA2" s="6" t="s">
        <v>153</v>
      </c>
      <c r="AB2" s="6" t="s">
        <v>153</v>
      </c>
      <c r="AC2" s="6" t="s">
        <v>153</v>
      </c>
      <c r="AD2" s="6" t="s">
        <v>153</v>
      </c>
      <c r="AE2" s="6" t="s">
        <v>153</v>
      </c>
      <c r="AF2" s="6" t="s">
        <v>153</v>
      </c>
      <c r="AG2" s="6" t="s">
        <v>153</v>
      </c>
      <c r="AH2" s="6" t="s">
        <v>153</v>
      </c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34"/>
      <c r="AX2" s="34"/>
      <c r="BA2" s="14" t="s">
        <v>154</v>
      </c>
    </row>
    <row r="3" spans="1:62" s="15" customFormat="1" ht="16" customHeight="1">
      <c r="A3" s="7" t="s">
        <v>155</v>
      </c>
      <c r="B3" s="14"/>
      <c r="BJ3"/>
    </row>
    <row r="4" spans="1:62" s="6" customFormat="1" ht="16" customHeight="1">
      <c r="A4" s="7" t="s">
        <v>156</v>
      </c>
      <c r="BJ4"/>
    </row>
    <row r="5" spans="1:62" s="6" customFormat="1" ht="16" customHeight="1">
      <c r="A5" s="6">
        <v>1.1000000000000001</v>
      </c>
      <c r="B5" s="6" t="s">
        <v>157</v>
      </c>
      <c r="C5" s="6" t="s">
        <v>158</v>
      </c>
      <c r="D5" s="6">
        <v>41.1</v>
      </c>
      <c r="E5" s="6">
        <v>500</v>
      </c>
      <c r="F5" s="6">
        <v>0.5</v>
      </c>
      <c r="G5" s="6">
        <v>0.95</v>
      </c>
      <c r="H5" s="16">
        <f>((-4800+(0.4748*(E5-1000)))/(LOG(K5)-5.711-LOG(F5)+LOG(G5)))</f>
        <v>1014.4337845992181</v>
      </c>
      <c r="I5" s="17">
        <f t="shared" ref="I5:I19" si="0">H5-273</f>
        <v>741.43378459921814</v>
      </c>
      <c r="J5" s="18">
        <v>47.243695218297745</v>
      </c>
      <c r="K5" s="19">
        <v>2.9276598402293961</v>
      </c>
      <c r="M5" s="9">
        <v>285.29268288554954</v>
      </c>
      <c r="O5" s="18">
        <v>12220.975344139471</v>
      </c>
      <c r="Q5" s="9">
        <v>340.05068068361118</v>
      </c>
      <c r="R5" s="9">
        <v>437.25565701511579</v>
      </c>
      <c r="S5" s="20">
        <f t="shared" ref="S5:S19" si="1">Q5*EXP(0.0000000000495*1000000*D5)</f>
        <v>340.74320100104683</v>
      </c>
      <c r="T5" s="20">
        <f t="shared" ref="T5:T19" si="2">R5*(EXP(D5*0.000000000155125*1000000)+0.0072*EXP(D5*0.00000000098485*1000000))</f>
        <v>443.33063378451618</v>
      </c>
      <c r="V5" s="19">
        <v>30.4675789668098</v>
      </c>
      <c r="W5" s="21">
        <v>5.7321493744545225E-2</v>
      </c>
      <c r="X5" s="22">
        <v>0.39919038069606461</v>
      </c>
      <c r="Y5" s="22">
        <v>1.170623820455833</v>
      </c>
      <c r="Z5" s="21">
        <v>0.70665308705167518</v>
      </c>
      <c r="AA5" s="19">
        <v>9.892673705181048</v>
      </c>
      <c r="AB5" s="19">
        <v>8.1966597206349618</v>
      </c>
      <c r="AC5" s="22">
        <v>2.68219753029291</v>
      </c>
      <c r="AD5" s="18">
        <v>25.242005795513659</v>
      </c>
      <c r="AE5" s="18">
        <v>41.992046890979232</v>
      </c>
      <c r="AF5" s="18">
        <v>9.5989432927213514</v>
      </c>
      <c r="AG5" s="18">
        <v>86.740706109092329</v>
      </c>
      <c r="AH5" s="18">
        <v>20.260753303998108</v>
      </c>
      <c r="AJ5" s="23">
        <f t="shared" ref="AJ5:AJ19" si="3">V5/0.613</f>
        <v>49.702412670162808</v>
      </c>
      <c r="AK5" s="23">
        <f t="shared" ref="AK5:AK19" si="4">W5/0.0928</f>
        <v>0.61768851017828907</v>
      </c>
      <c r="AL5" s="23">
        <f t="shared" ref="AL5:AL19" si="5">X5/0.457</f>
        <v>0.87350192712486785</v>
      </c>
      <c r="AM5" s="23">
        <f t="shared" ref="AM5:AM19" si="6">Y5/0.148</f>
        <v>7.9096204084853587</v>
      </c>
      <c r="AN5" s="23">
        <f t="shared" ref="AN5:AN19" si="7">Z5/0.0563</f>
        <v>12.551564601273093</v>
      </c>
      <c r="AO5" s="23">
        <f t="shared" ref="AO5:AO19" si="8">AA5/0.199</f>
        <v>49.711928166738936</v>
      </c>
      <c r="AP5" s="23">
        <f t="shared" ref="AP5:AP19" si="9">AB5/0.0361</f>
        <v>227.05428589016515</v>
      </c>
      <c r="AQ5" s="23">
        <f t="shared" ref="AQ5:AQ19" si="10">AC5/0.246</f>
        <v>10.903241993060609</v>
      </c>
      <c r="AR5" s="23">
        <f t="shared" ref="AR5:AR19" si="11">AD5/0.0546</f>
        <v>462.30779845263112</v>
      </c>
      <c r="AS5" s="23">
        <f t="shared" ref="AS5:AS19" si="12">AE5/0.16</f>
        <v>262.45029306862017</v>
      </c>
      <c r="AT5" s="23">
        <f t="shared" ref="AT5:AT19" si="13">AF5/0.0247</f>
        <v>388.62118594013566</v>
      </c>
      <c r="AU5" s="23">
        <f t="shared" ref="AU5:AU19" si="14">AG5/0.161</f>
        <v>538.76214974591505</v>
      </c>
      <c r="AV5" s="24">
        <f t="shared" ref="AV5:AV19" si="15">AH5/0.0246</f>
        <v>823.6078578861019</v>
      </c>
      <c r="AW5" s="23">
        <f t="shared" ref="AW5:AW19" si="16">AN5/10^(((0.5)*LOG(AO5))+((0.5)*LOG(AM5)))</f>
        <v>0.63297963945922076</v>
      </c>
      <c r="AX5" s="25">
        <f t="shared" ref="AX5:AX19" si="17">(AW5/AU5)*(10^4)</f>
        <v>11.748777076447174</v>
      </c>
      <c r="AY5" s="26">
        <f>V5/T5</f>
        <v>6.8724280807580668E-2</v>
      </c>
      <c r="AZ5" s="23">
        <f>T5/K5</f>
        <v>151.42832773556751</v>
      </c>
      <c r="BA5" s="25">
        <f>AY5*(AZ5^0.5)</f>
        <v>0.84569500767883043</v>
      </c>
      <c r="BB5" s="27">
        <f>((3.998*LOG(BA5))+2.284)</f>
        <v>1.9930006399232765</v>
      </c>
      <c r="BC5" s="28">
        <f>((-587474)+(1584.427*H5)-(203.3164*H5*LN(H5))+(0.09271*(H5^2)))/(8.314511*H5*LN(10))</f>
        <v>-16.088571931729227</v>
      </c>
      <c r="BD5" s="27">
        <f>((3.998*LOG(BA5))+2.284)+BC5</f>
        <v>-14.09557129180595</v>
      </c>
      <c r="BE5" s="24">
        <f>1000*(AJ5/AL5)/M5</f>
        <v>199.44491600942141</v>
      </c>
      <c r="BG5" s="29">
        <f>AQ5/AU5</f>
        <v>2.0237579789528039E-2</v>
      </c>
      <c r="BJ5"/>
    </row>
    <row r="6" spans="1:62" s="6" customFormat="1" ht="16" customHeight="1">
      <c r="A6" s="6">
        <v>1.2</v>
      </c>
      <c r="B6" s="6" t="s">
        <v>157</v>
      </c>
      <c r="C6" s="6" t="s">
        <v>159</v>
      </c>
      <c r="D6" s="6">
        <v>41.1</v>
      </c>
      <c r="E6" s="6">
        <v>500</v>
      </c>
      <c r="F6" s="6">
        <v>0.5</v>
      </c>
      <c r="G6" s="6">
        <v>0.95</v>
      </c>
      <c r="H6" s="16">
        <f t="shared" ref="H6:H19" si="18">((-4800+(0.4748*(E6-1000)))/(LOG(K6)-5.711-LOG(F6)+LOG(G6)))</f>
        <v>1104.0797433353923</v>
      </c>
      <c r="I6" s="17">
        <f t="shared" si="0"/>
        <v>831.07974333539232</v>
      </c>
      <c r="J6" s="18">
        <v>184.59413528466536</v>
      </c>
      <c r="K6" s="19">
        <v>7.4082160220739404</v>
      </c>
      <c r="M6" s="9">
        <v>456.37999035013792</v>
      </c>
      <c r="O6" s="18">
        <v>9893.8344872920297</v>
      </c>
      <c r="Q6" s="9">
        <v>49.324135641304579</v>
      </c>
      <c r="R6" s="9">
        <v>81.698775113640309</v>
      </c>
      <c r="S6" s="20">
        <f t="shared" si="1"/>
        <v>49.42458527429131</v>
      </c>
      <c r="T6" s="20">
        <f t="shared" si="2"/>
        <v>82.833850561930447</v>
      </c>
      <c r="V6" s="19">
        <v>20.068614658487547</v>
      </c>
      <c r="W6" s="21">
        <v>5.4096949701763243E-2</v>
      </c>
      <c r="X6" s="22">
        <v>0.62577665499945911</v>
      </c>
      <c r="Y6" s="22">
        <v>1.5188013508630749</v>
      </c>
      <c r="Z6" s="21">
        <v>0.92455220800803384</v>
      </c>
      <c r="AA6" s="19">
        <v>15.879207884243577</v>
      </c>
      <c r="AB6" s="19">
        <v>12.562032821717418</v>
      </c>
      <c r="AC6" s="22">
        <v>4.0162563511430687</v>
      </c>
      <c r="AD6" s="18">
        <v>43.177798029979066</v>
      </c>
      <c r="AE6" s="18">
        <v>72.613028417772924</v>
      </c>
      <c r="AF6" s="18">
        <v>16.212532854855443</v>
      </c>
      <c r="AG6" s="18">
        <v>146.93940770059726</v>
      </c>
      <c r="AH6" s="18">
        <v>29.994445939922581</v>
      </c>
      <c r="AJ6" s="23">
        <f t="shared" si="3"/>
        <v>32.73835996490628</v>
      </c>
      <c r="AK6" s="23">
        <f t="shared" si="4"/>
        <v>0.582941268337966</v>
      </c>
      <c r="AL6" s="23">
        <f t="shared" si="5"/>
        <v>1.3693143435436741</v>
      </c>
      <c r="AM6" s="23">
        <f t="shared" si="6"/>
        <v>10.262171289615372</v>
      </c>
      <c r="AN6" s="23">
        <f t="shared" si="7"/>
        <v>16.421886465506816</v>
      </c>
      <c r="AO6" s="23">
        <f t="shared" si="8"/>
        <v>79.79501449368631</v>
      </c>
      <c r="AP6" s="23">
        <f t="shared" si="9"/>
        <v>347.97874852402822</v>
      </c>
      <c r="AQ6" s="23">
        <f t="shared" si="10"/>
        <v>16.326245329849872</v>
      </c>
      <c r="AR6" s="23">
        <f t="shared" si="11"/>
        <v>790.80216172122823</v>
      </c>
      <c r="AS6" s="23">
        <f t="shared" si="12"/>
        <v>453.83142761108076</v>
      </c>
      <c r="AT6" s="23">
        <f t="shared" si="13"/>
        <v>656.37784837471429</v>
      </c>
      <c r="AU6" s="23">
        <f t="shared" si="14"/>
        <v>912.66712857513824</v>
      </c>
      <c r="AV6" s="24">
        <f t="shared" si="15"/>
        <v>1219.2864203220561</v>
      </c>
      <c r="AW6" s="23">
        <f t="shared" si="16"/>
        <v>0.57387266224486333</v>
      </c>
      <c r="AX6" s="25">
        <f t="shared" si="17"/>
        <v>6.2878638254540515</v>
      </c>
      <c r="AY6" s="26">
        <f>V6/T6</f>
        <v>0.24227552531176028</v>
      </c>
      <c r="AZ6" s="23">
        <f>T6/K6</f>
        <v>11.18134923645774</v>
      </c>
      <c r="BA6" s="25">
        <f>AY6*(AZ6^0.5)</f>
        <v>0.81013360994249206</v>
      </c>
      <c r="BB6" s="27">
        <f>((3.998*LOG(BA6))+2.284)</f>
        <v>1.9184094870320263</v>
      </c>
      <c r="BC6" s="28">
        <f>((-587474)+(1584.427*H6)-(203.3164*H6*LN(H6))+(0.09271*(H6^2)))/(8.314511*H6*LN(10))</f>
        <v>-14.09768398307591</v>
      </c>
      <c r="BD6" s="27">
        <f>((3.998*LOG(BA6))+2.284)+BC6</f>
        <v>-12.179274496043885</v>
      </c>
      <c r="BE6" s="24">
        <f>1000*(AJ6/AL6)/M6</f>
        <v>52.387438897826748</v>
      </c>
      <c r="BG6" s="29">
        <f>AQ6/AU6</f>
        <v>1.7888499342951586E-2</v>
      </c>
      <c r="BJ6"/>
    </row>
    <row r="7" spans="1:62" s="6" customFormat="1" ht="16" customHeight="1">
      <c r="A7" s="6">
        <v>2.1</v>
      </c>
      <c r="B7" s="6" t="s">
        <v>157</v>
      </c>
      <c r="C7" s="6" t="s">
        <v>160</v>
      </c>
      <c r="D7" s="6">
        <v>41.1</v>
      </c>
      <c r="E7" s="6">
        <v>500</v>
      </c>
      <c r="F7" s="6">
        <v>0.5</v>
      </c>
      <c r="G7" s="6">
        <v>0.95</v>
      </c>
      <c r="H7" s="16">
        <f t="shared" si="18"/>
        <v>1145.0861694684302</v>
      </c>
      <c r="I7" s="17">
        <f t="shared" si="0"/>
        <v>872.08616946843017</v>
      </c>
      <c r="J7" s="18">
        <v>181.55334692369212</v>
      </c>
      <c r="K7" s="19">
        <v>10.791988745197244</v>
      </c>
      <c r="M7" s="9">
        <v>1289.2627854059822</v>
      </c>
      <c r="O7" s="18">
        <v>9502.4587194819887</v>
      </c>
      <c r="Q7" s="9">
        <v>192.70537971199315</v>
      </c>
      <c r="R7" s="9">
        <v>284.06468521350587</v>
      </c>
      <c r="S7" s="20">
        <f t="shared" si="1"/>
        <v>193.09782824484546</v>
      </c>
      <c r="T7" s="20">
        <f t="shared" si="2"/>
        <v>288.01131537367195</v>
      </c>
      <c r="U7" s="21">
        <v>2.1809474147371416E-2</v>
      </c>
      <c r="V7" s="19">
        <v>66.634666423458768</v>
      </c>
      <c r="W7" s="21">
        <v>0.133776029852436</v>
      </c>
      <c r="X7" s="22">
        <v>1.5270428084443073</v>
      </c>
      <c r="Y7" s="22">
        <v>4.5252432411144179</v>
      </c>
      <c r="Z7" s="21">
        <v>3.1580555502412664</v>
      </c>
      <c r="AA7" s="19">
        <v>48.930408833168165</v>
      </c>
      <c r="AB7" s="19">
        <v>49.562121116684708</v>
      </c>
      <c r="AC7" s="22">
        <v>14.763035625573679</v>
      </c>
      <c r="AD7" s="18">
        <v>148.37357984150646</v>
      </c>
      <c r="AE7" s="18">
        <v>206.84484081218775</v>
      </c>
      <c r="AF7" s="18">
        <v>40.968283597661696</v>
      </c>
      <c r="AG7" s="18">
        <v>333.23898769780601</v>
      </c>
      <c r="AH7" s="18">
        <v>60.804800890452348</v>
      </c>
      <c r="AI7" s="29">
        <f t="shared" ref="AI7:AI19" si="19">U7/0.237</f>
        <v>9.2023097668233828E-2</v>
      </c>
      <c r="AJ7" s="23">
        <f t="shared" si="3"/>
        <v>108.70255534006324</v>
      </c>
      <c r="AK7" s="23">
        <f t="shared" si="4"/>
        <v>1.4415520458236639</v>
      </c>
      <c r="AL7" s="23">
        <f t="shared" si="5"/>
        <v>3.3414503467052676</v>
      </c>
      <c r="AM7" s="23">
        <f t="shared" si="6"/>
        <v>30.575967845367689</v>
      </c>
      <c r="AN7" s="23">
        <f t="shared" si="7"/>
        <v>56.093349027375957</v>
      </c>
      <c r="AO7" s="23">
        <f t="shared" si="8"/>
        <v>245.88145142295559</v>
      </c>
      <c r="AP7" s="23">
        <f t="shared" si="9"/>
        <v>1372.911942290435</v>
      </c>
      <c r="AQ7" s="23">
        <f t="shared" si="10"/>
        <v>60.012339941356416</v>
      </c>
      <c r="AR7" s="23">
        <f t="shared" si="11"/>
        <v>2717.4648322620228</v>
      </c>
      <c r="AS7" s="23">
        <f t="shared" si="12"/>
        <v>1292.7802550761735</v>
      </c>
      <c r="AT7" s="23">
        <f t="shared" si="13"/>
        <v>1658.6349634680848</v>
      </c>
      <c r="AU7" s="23">
        <f t="shared" si="14"/>
        <v>2069.8073770050064</v>
      </c>
      <c r="AV7" s="24">
        <f t="shared" si="15"/>
        <v>2471.739873595624</v>
      </c>
      <c r="AW7" s="23">
        <f t="shared" si="16"/>
        <v>0.64693162146473027</v>
      </c>
      <c r="AX7" s="25">
        <f t="shared" si="17"/>
        <v>3.1255643817485796</v>
      </c>
      <c r="AY7" s="26">
        <f>V7/T7</f>
        <v>0.23136127945877941</v>
      </c>
      <c r="AZ7" s="23">
        <f>T7/K7</f>
        <v>26.687510724271792</v>
      </c>
      <c r="BA7" s="25">
        <f>AY7*(AZ7^0.5)</f>
        <v>1.1952113558382502</v>
      </c>
      <c r="BB7" s="27">
        <f>((3.998*LOG(BA7))+2.284)</f>
        <v>2.5936239536660954</v>
      </c>
      <c r="BC7" s="28">
        <f>((-587474)+(1584.427*H7)-(203.3164*H7*LN(H7))+(0.09271*(H7^2)))/(8.314511*H7*LN(10))</f>
        <v>-13.291101583279641</v>
      </c>
      <c r="BD7" s="27">
        <f>((3.998*LOG(BA7))+2.284)+BC7</f>
        <v>-10.697477629613545</v>
      </c>
      <c r="BE7" s="24">
        <f>1000*(AJ7/AL7)/M7</f>
        <v>25.232675033393942</v>
      </c>
      <c r="BG7" s="29">
        <f>AQ7/AU7</f>
        <v>2.8994166610901619E-2</v>
      </c>
      <c r="BJ7"/>
    </row>
    <row r="8" spans="1:62" s="6" customFormat="1" ht="16" customHeight="1">
      <c r="A8" s="6">
        <v>3.1</v>
      </c>
      <c r="B8" s="6" t="s">
        <v>157</v>
      </c>
      <c r="C8" s="6" t="s">
        <v>158</v>
      </c>
      <c r="D8" s="6">
        <v>41.1</v>
      </c>
      <c r="E8" s="6">
        <v>500</v>
      </c>
      <c r="F8" s="6">
        <v>0.5</v>
      </c>
      <c r="G8" s="6">
        <v>0.95</v>
      </c>
      <c r="H8" s="16">
        <f t="shared" si="18"/>
        <v>1049.5630995399522</v>
      </c>
      <c r="I8" s="17">
        <f t="shared" si="0"/>
        <v>776.56309953995219</v>
      </c>
      <c r="J8" s="18">
        <v>126.31100169510685</v>
      </c>
      <c r="K8" s="19">
        <v>4.2926504921936681</v>
      </c>
      <c r="M8" s="9">
        <v>659.47118413378314</v>
      </c>
      <c r="O8" s="18">
        <v>11964.672836209818</v>
      </c>
      <c r="Q8" s="9">
        <v>477.2141650221547</v>
      </c>
      <c r="R8" s="9">
        <v>526.43732311654946</v>
      </c>
      <c r="S8" s="20">
        <f t="shared" si="1"/>
        <v>478.18602164182556</v>
      </c>
      <c r="T8" s="20">
        <f t="shared" si="2"/>
        <v>533.7513382863242</v>
      </c>
      <c r="U8" s="21">
        <v>1.3630404377573811E-2</v>
      </c>
      <c r="V8" s="19">
        <v>73.14550940426507</v>
      </c>
      <c r="W8" s="21">
        <v>7.9046474165626046E-2</v>
      </c>
      <c r="X8" s="22">
        <v>0.89394913963590616</v>
      </c>
      <c r="Y8" s="22">
        <v>3.1949110302846555</v>
      </c>
      <c r="Z8" s="21">
        <v>2.0135966808993548</v>
      </c>
      <c r="AA8" s="19">
        <v>25.664859078449481</v>
      </c>
      <c r="AB8" s="19">
        <v>26.251544887109244</v>
      </c>
      <c r="AC8" s="22">
        <v>7.8062090908070036</v>
      </c>
      <c r="AD8" s="18">
        <v>76.3705926225756</v>
      </c>
      <c r="AE8" s="18">
        <v>103.4972630613366</v>
      </c>
      <c r="AF8" s="18">
        <v>21.080277237614343</v>
      </c>
      <c r="AG8" s="18">
        <v>171.31698927907144</v>
      </c>
      <c r="AH8" s="18">
        <v>32.084084664377137</v>
      </c>
      <c r="AI8" s="29">
        <f t="shared" si="19"/>
        <v>5.7512254757695412E-2</v>
      </c>
      <c r="AJ8" s="23">
        <f t="shared" si="3"/>
        <v>119.32383263338511</v>
      </c>
      <c r="AK8" s="23">
        <f t="shared" si="4"/>
        <v>0.85179390264683241</v>
      </c>
      <c r="AL8" s="23">
        <f t="shared" si="5"/>
        <v>1.9561250320260528</v>
      </c>
      <c r="AM8" s="23">
        <f t="shared" si="6"/>
        <v>21.587236691112537</v>
      </c>
      <c r="AN8" s="23">
        <f t="shared" si="7"/>
        <v>35.765482786844665</v>
      </c>
      <c r="AO8" s="23">
        <f t="shared" si="8"/>
        <v>128.96914109773607</v>
      </c>
      <c r="AP8" s="23">
        <f t="shared" si="9"/>
        <v>727.18960906119787</v>
      </c>
      <c r="AQ8" s="23">
        <f t="shared" si="10"/>
        <v>31.732557279703268</v>
      </c>
      <c r="AR8" s="23">
        <f t="shared" si="11"/>
        <v>1398.7288026112747</v>
      </c>
      <c r="AS8" s="23">
        <f t="shared" si="12"/>
        <v>646.85789413335374</v>
      </c>
      <c r="AT8" s="23">
        <f t="shared" si="13"/>
        <v>853.45251974147141</v>
      </c>
      <c r="AU8" s="23">
        <f t="shared" si="14"/>
        <v>1064.0806787519964</v>
      </c>
      <c r="AV8" s="24">
        <f t="shared" si="15"/>
        <v>1304.2310839177699</v>
      </c>
      <c r="AW8" s="23">
        <f t="shared" si="16"/>
        <v>0.67783292653487992</v>
      </c>
      <c r="AX8" s="25">
        <f t="shared" si="17"/>
        <v>6.3701271912001456</v>
      </c>
      <c r="AY8" s="26">
        <f>V8/T8</f>
        <v>0.13704042342846001</v>
      </c>
      <c r="AZ8" s="23">
        <f>T8/K8</f>
        <v>124.34073988948536</v>
      </c>
      <c r="BA8" s="25">
        <f>AY8*(AZ8^0.5)</f>
        <v>1.52811280690012</v>
      </c>
      <c r="BB8" s="27">
        <f>((3.998*LOG(BA8))+2.284)</f>
        <v>3.0202533511693055</v>
      </c>
      <c r="BC8" s="28">
        <f>((-587474)+(1584.427*H8)-(203.3164*H8*LN(H8))+(0.09271*(H8^2)))/(8.314511*H8*LN(10))</f>
        <v>-15.267543103991198</v>
      </c>
      <c r="BD8" s="27">
        <f>((3.998*LOG(BA8))+2.284)+BC8</f>
        <v>-12.247289752821892</v>
      </c>
      <c r="BE8" s="24">
        <f>1000*(AJ8/AL8)/M8</f>
        <v>92.498514892159292</v>
      </c>
      <c r="BG8" s="29">
        <f>AQ8/AU8</f>
        <v>2.9821570782509365E-2</v>
      </c>
      <c r="BJ8"/>
    </row>
    <row r="9" spans="1:62" s="6" customFormat="1" ht="16" customHeight="1">
      <c r="A9" s="6">
        <v>3.2</v>
      </c>
      <c r="B9" s="6" t="s">
        <v>157</v>
      </c>
      <c r="C9" s="6" t="s">
        <v>159</v>
      </c>
      <c r="D9" s="6">
        <v>41.1</v>
      </c>
      <c r="E9" s="6">
        <v>500</v>
      </c>
      <c r="F9" s="6">
        <v>0.5</v>
      </c>
      <c r="G9" s="6">
        <v>0.95</v>
      </c>
      <c r="H9" s="16">
        <f t="shared" si="18"/>
        <v>1112.6832151674364</v>
      </c>
      <c r="I9" s="17">
        <f t="shared" si="0"/>
        <v>839.6832151674364</v>
      </c>
      <c r="J9" s="18">
        <v>142.27643360435883</v>
      </c>
      <c r="K9" s="19">
        <v>8.0351128858690775</v>
      </c>
      <c r="M9" s="9">
        <v>610.45794654773408</v>
      </c>
      <c r="O9" s="18">
        <v>8924.9167660663479</v>
      </c>
      <c r="Q9" s="9">
        <v>33.115660890224255</v>
      </c>
      <c r="R9" s="9">
        <v>51.568290604656461</v>
      </c>
      <c r="S9" s="20">
        <f t="shared" si="1"/>
        <v>33.18310162566312</v>
      </c>
      <c r="T9" s="20">
        <f t="shared" si="2"/>
        <v>52.284750557626602</v>
      </c>
      <c r="U9" s="21">
        <v>7.9081743531939797E-3</v>
      </c>
      <c r="V9" s="19">
        <v>24.310895693572558</v>
      </c>
      <c r="W9" s="21">
        <v>7.0556437075508488E-2</v>
      </c>
      <c r="X9" s="22">
        <v>0.77757200966166862</v>
      </c>
      <c r="Y9" s="22">
        <v>2.1043781358057316</v>
      </c>
      <c r="Z9" s="21">
        <v>1.6146051807359088</v>
      </c>
      <c r="AA9" s="19">
        <v>19.09646528222299</v>
      </c>
      <c r="AB9" s="19">
        <v>17.397375222981772</v>
      </c>
      <c r="AC9" s="22">
        <v>5.4063053928235849</v>
      </c>
      <c r="AD9" s="18">
        <v>55.324851555202258</v>
      </c>
      <c r="AE9" s="18">
        <v>80.491907405950755</v>
      </c>
      <c r="AF9" s="18">
        <v>16.441811720933721</v>
      </c>
      <c r="AG9" s="18">
        <v>133.70572540246633</v>
      </c>
      <c r="AH9" s="18">
        <v>24.912483098176182</v>
      </c>
      <c r="AI9" s="29">
        <f t="shared" si="19"/>
        <v>3.3367824275080088E-2</v>
      </c>
      <c r="AJ9" s="23">
        <f t="shared" si="3"/>
        <v>39.658883676301073</v>
      </c>
      <c r="AK9" s="23">
        <f t="shared" si="4"/>
        <v>0.76030643400332432</v>
      </c>
      <c r="AL9" s="23">
        <f t="shared" si="5"/>
        <v>1.7014704806601064</v>
      </c>
      <c r="AM9" s="23">
        <f t="shared" si="6"/>
        <v>14.218771187876566</v>
      </c>
      <c r="AN9" s="23">
        <f t="shared" si="7"/>
        <v>28.6786000130712</v>
      </c>
      <c r="AO9" s="23">
        <f t="shared" si="8"/>
        <v>95.962137096597942</v>
      </c>
      <c r="AP9" s="23">
        <f t="shared" si="9"/>
        <v>481.92175132913496</v>
      </c>
      <c r="AQ9" s="23">
        <f t="shared" si="10"/>
        <v>21.976851190339776</v>
      </c>
      <c r="AR9" s="23">
        <f t="shared" si="11"/>
        <v>1013.2756695091988</v>
      </c>
      <c r="AS9" s="23">
        <f t="shared" si="12"/>
        <v>503.07442128719219</v>
      </c>
      <c r="AT9" s="23">
        <f t="shared" si="13"/>
        <v>665.66039356006968</v>
      </c>
      <c r="AU9" s="23">
        <f t="shared" si="14"/>
        <v>830.4703441146977</v>
      </c>
      <c r="AV9" s="24">
        <f t="shared" si="15"/>
        <v>1012.7025649665114</v>
      </c>
      <c r="AW9" s="23">
        <f t="shared" si="16"/>
        <v>0.7763846824172731</v>
      </c>
      <c r="AX9" s="25">
        <f t="shared" si="17"/>
        <v>9.3487345805817874</v>
      </c>
      <c r="AY9" s="26">
        <f>V9/T9</f>
        <v>0.46497105626960689</v>
      </c>
      <c r="AZ9" s="23">
        <f>T9/K9</f>
        <v>6.5070337281230968</v>
      </c>
      <c r="BA9" s="25">
        <f>AY9*(AZ9^0.5)</f>
        <v>1.1860894650627425</v>
      </c>
      <c r="BB9" s="27">
        <f>((3.998*LOG(BA9))+2.284)</f>
        <v>2.5803215590496515</v>
      </c>
      <c r="BC9" s="28">
        <f>((-587474)+(1584.427*H9)-(203.3164*H9*LN(H9))+(0.09271*(H9^2)))/(8.314511*H9*LN(10))</f>
        <v>-13.923554500613546</v>
      </c>
      <c r="BD9" s="27">
        <f>((3.998*LOG(BA9))+2.284)+BC9</f>
        <v>-11.343232941563894</v>
      </c>
      <c r="BE9" s="24">
        <f>1000*(AJ9/AL9)/M9</f>
        <v>38.182144351413143</v>
      </c>
      <c r="BG9" s="29">
        <f>AQ9/AU9</f>
        <v>2.6463137842408634E-2</v>
      </c>
      <c r="BJ9"/>
    </row>
    <row r="10" spans="1:62" s="6" customFormat="1" ht="16" customHeight="1">
      <c r="A10" s="6">
        <v>4.0999999999999996</v>
      </c>
      <c r="B10" s="6" t="s">
        <v>157</v>
      </c>
      <c r="C10" s="6" t="s">
        <v>159</v>
      </c>
      <c r="D10" s="6">
        <v>41.1</v>
      </c>
      <c r="E10" s="6">
        <v>500</v>
      </c>
      <c r="F10" s="6">
        <v>0.5</v>
      </c>
      <c r="G10" s="6">
        <v>0.95</v>
      </c>
      <c r="H10" s="16">
        <f t="shared" si="18"/>
        <v>1214.1583553388516</v>
      </c>
      <c r="I10" s="17">
        <f t="shared" si="0"/>
        <v>941.15835533885161</v>
      </c>
      <c r="J10" s="18">
        <v>669.68845702962187</v>
      </c>
      <c r="K10" s="19">
        <v>19.202783676926316</v>
      </c>
      <c r="M10" s="9">
        <v>5987.3907164458815</v>
      </c>
      <c r="O10" s="18">
        <v>8030.7458821837563</v>
      </c>
      <c r="Q10" s="9">
        <v>1239.3556880084366</v>
      </c>
      <c r="R10" s="9">
        <v>507.89500114497065</v>
      </c>
      <c r="S10" s="20">
        <f t="shared" si="1"/>
        <v>1241.8796617665537</v>
      </c>
      <c r="T10" s="20">
        <f t="shared" si="2"/>
        <v>514.95140003598283</v>
      </c>
      <c r="U10" s="21">
        <v>0.21648424864197363</v>
      </c>
      <c r="V10" s="30">
        <v>342.04204080757006</v>
      </c>
      <c r="W10" s="31">
        <v>1.0395034121013695</v>
      </c>
      <c r="X10" s="32">
        <v>20.781050969345639</v>
      </c>
      <c r="Y10" s="32">
        <v>48.233170392025507</v>
      </c>
      <c r="Z10" s="31">
        <v>26.679534247785877</v>
      </c>
      <c r="AA10" s="19">
        <v>220.73092493406716</v>
      </c>
      <c r="AB10" s="19">
        <v>347.799493117466</v>
      </c>
      <c r="AC10" s="22">
        <v>90.489786052949</v>
      </c>
      <c r="AD10" s="18">
        <v>762.40078214450136</v>
      </c>
      <c r="AE10" s="18">
        <v>785.24671866289214</v>
      </c>
      <c r="AF10" s="18">
        <v>132.99577775773477</v>
      </c>
      <c r="AG10" s="18">
        <v>960.72481851409646</v>
      </c>
      <c r="AH10" s="18">
        <v>151.29316601732137</v>
      </c>
      <c r="AI10" s="29">
        <f t="shared" si="19"/>
        <v>0.91343564827836976</v>
      </c>
      <c r="AJ10" s="23">
        <f t="shared" si="3"/>
        <v>557.9804907138174</v>
      </c>
      <c r="AK10" s="23">
        <f t="shared" si="4"/>
        <v>11.20154538902338</v>
      </c>
      <c r="AL10" s="23">
        <f t="shared" si="5"/>
        <v>45.472759232703801</v>
      </c>
      <c r="AM10" s="23">
        <f t="shared" si="6"/>
        <v>325.89979994611832</v>
      </c>
      <c r="AN10" s="23">
        <f t="shared" si="7"/>
        <v>473.88160298021097</v>
      </c>
      <c r="AO10" s="23">
        <f t="shared" si="8"/>
        <v>1109.2006278093827</v>
      </c>
      <c r="AP10" s="23">
        <f t="shared" si="9"/>
        <v>9634.3349894034909</v>
      </c>
      <c r="AQ10" s="23">
        <f t="shared" si="10"/>
        <v>367.84465875182519</v>
      </c>
      <c r="AR10" s="23">
        <f t="shared" si="11"/>
        <v>13963.38428836083</v>
      </c>
      <c r="AS10" s="23">
        <f t="shared" si="12"/>
        <v>4907.7919916430756</v>
      </c>
      <c r="AT10" s="23">
        <f t="shared" si="13"/>
        <v>5384.4444436329868</v>
      </c>
      <c r="AU10" s="23">
        <f t="shared" si="14"/>
        <v>5967.2348976030835</v>
      </c>
      <c r="AV10" s="24">
        <f t="shared" si="15"/>
        <v>6150.1286998911128</v>
      </c>
      <c r="AW10" s="23">
        <f t="shared" si="16"/>
        <v>0.7881751690211859</v>
      </c>
      <c r="AX10" s="25">
        <f t="shared" si="17"/>
        <v>1.3208381814126</v>
      </c>
      <c r="BH10" s="6" t="s">
        <v>161</v>
      </c>
      <c r="BJ10"/>
    </row>
    <row r="11" spans="1:62" s="6" customFormat="1" ht="16" customHeight="1">
      <c r="A11" s="6">
        <v>5.0999999999999996</v>
      </c>
      <c r="B11" s="6" t="s">
        <v>157</v>
      </c>
      <c r="C11" s="6" t="s">
        <v>158</v>
      </c>
      <c r="D11" s="6">
        <v>41.1</v>
      </c>
      <c r="E11" s="6">
        <v>500</v>
      </c>
      <c r="F11" s="6">
        <v>0.5</v>
      </c>
      <c r="G11" s="6">
        <v>0.95</v>
      </c>
      <c r="H11" s="16">
        <f t="shared" si="18"/>
        <v>1118.2961978456033</v>
      </c>
      <c r="I11" s="17">
        <f t="shared" si="0"/>
        <v>845.29619784560327</v>
      </c>
      <c r="J11" s="18">
        <v>211.25467549289235</v>
      </c>
      <c r="K11" s="19">
        <v>8.4667220161311114</v>
      </c>
      <c r="M11" s="9">
        <v>2060.8519394910331</v>
      </c>
      <c r="O11" s="18">
        <v>10596.691353610511</v>
      </c>
      <c r="Q11" s="9">
        <v>243.20146145923721</v>
      </c>
      <c r="R11" s="9">
        <v>394.71922830174168</v>
      </c>
      <c r="S11" s="20">
        <f t="shared" si="1"/>
        <v>243.6967463178118</v>
      </c>
      <c r="T11" s="20">
        <f t="shared" si="2"/>
        <v>400.20322857457484</v>
      </c>
      <c r="U11" s="21">
        <v>2.5977259100138279E-2</v>
      </c>
      <c r="V11" s="19">
        <v>135.15393339088672</v>
      </c>
      <c r="W11" s="21">
        <v>0.11588406914377299</v>
      </c>
      <c r="X11" s="22">
        <v>2.5678027765631786</v>
      </c>
      <c r="Y11" s="22">
        <v>8.5999586659154073</v>
      </c>
      <c r="Z11" s="21">
        <v>5.1875439582773604</v>
      </c>
      <c r="AA11" s="19">
        <v>78.098524971888992</v>
      </c>
      <c r="AB11" s="19">
        <v>75.891019244397327</v>
      </c>
      <c r="AC11" s="22">
        <v>23.177604105421818</v>
      </c>
      <c r="AD11" s="18">
        <v>218.11973313994466</v>
      </c>
      <c r="AE11" s="18">
        <v>282.35358064532636</v>
      </c>
      <c r="AF11" s="18">
        <v>52.576014754122809</v>
      </c>
      <c r="AG11" s="18">
        <v>398.21881709306643</v>
      </c>
      <c r="AH11" s="18">
        <v>68.930455379081465</v>
      </c>
      <c r="AI11" s="29">
        <f t="shared" si="19"/>
        <v>0.10960868818623747</v>
      </c>
      <c r="AJ11" s="23">
        <f t="shared" si="3"/>
        <v>220.47949982200117</v>
      </c>
      <c r="AK11" s="23">
        <f t="shared" si="4"/>
        <v>1.2487507450837607</v>
      </c>
      <c r="AL11" s="23">
        <f t="shared" si="5"/>
        <v>5.6188244563745702</v>
      </c>
      <c r="AM11" s="23">
        <f t="shared" si="6"/>
        <v>58.107828823752754</v>
      </c>
      <c r="AN11" s="23">
        <f t="shared" si="7"/>
        <v>92.141100502262162</v>
      </c>
      <c r="AO11" s="23">
        <f t="shared" si="8"/>
        <v>392.45489935622606</v>
      </c>
      <c r="AP11" s="23">
        <f t="shared" si="9"/>
        <v>2102.2443003988178</v>
      </c>
      <c r="AQ11" s="23">
        <f t="shared" si="10"/>
        <v>94.21790286756837</v>
      </c>
      <c r="AR11" s="23">
        <f t="shared" si="11"/>
        <v>3994.8669073249935</v>
      </c>
      <c r="AS11" s="23">
        <f t="shared" si="12"/>
        <v>1764.7098790332898</v>
      </c>
      <c r="AT11" s="23">
        <f t="shared" si="13"/>
        <v>2128.5835932843243</v>
      </c>
      <c r="AU11" s="23">
        <f t="shared" si="14"/>
        <v>2473.4088018202883</v>
      </c>
      <c r="AV11" s="24">
        <f t="shared" si="15"/>
        <v>2802.0510316699783</v>
      </c>
      <c r="AW11" s="23">
        <f t="shared" si="16"/>
        <v>0.61015643119625396</v>
      </c>
      <c r="AX11" s="25">
        <f t="shared" si="17"/>
        <v>2.4668644776682833</v>
      </c>
      <c r="AY11" s="26">
        <f>V11/T11</f>
        <v>0.3377132510206669</v>
      </c>
      <c r="AZ11" s="23">
        <f>T11/K11</f>
        <v>47.26778885761135</v>
      </c>
      <c r="BA11" s="25">
        <f>AY11*(AZ11^0.5)</f>
        <v>2.3218317465870948</v>
      </c>
      <c r="BB11" s="27">
        <f>((3.998*LOG(BA11))+2.284)</f>
        <v>3.7465913186794531</v>
      </c>
      <c r="BC11" s="28">
        <f>((-587474)+(1584.427*H11)-(203.3164*H11*LN(H11))+(0.09271*(H11^2)))/(8.314511*H11*LN(10))</f>
        <v>-13.811390340157637</v>
      </c>
      <c r="BD11" s="27">
        <f>((3.998*LOG(BA11))+2.284)+BC11</f>
        <v>-10.064799021478184</v>
      </c>
      <c r="BE11" s="24">
        <f>1000*(AJ11/AL11)/M11</f>
        <v>19.040395258176229</v>
      </c>
      <c r="BG11" s="29">
        <f>AQ11/AU11</f>
        <v>3.8092329419313682E-2</v>
      </c>
      <c r="BJ11"/>
    </row>
    <row r="12" spans="1:62" s="6" customFormat="1" ht="16" customHeight="1">
      <c r="A12" s="6">
        <v>6.1</v>
      </c>
      <c r="B12" s="6" t="s">
        <v>157</v>
      </c>
      <c r="C12" s="6" t="s">
        <v>158</v>
      </c>
      <c r="D12" s="6">
        <v>41.1</v>
      </c>
      <c r="E12" s="6">
        <v>500</v>
      </c>
      <c r="F12" s="6">
        <v>0.5</v>
      </c>
      <c r="G12" s="6">
        <v>0.95</v>
      </c>
      <c r="H12" s="16">
        <f t="shared" si="18"/>
        <v>1048.4932931198409</v>
      </c>
      <c r="I12" s="17">
        <f t="shared" si="0"/>
        <v>775.49329311984093</v>
      </c>
      <c r="J12" s="18">
        <v>105.79284605609934</v>
      </c>
      <c r="K12" s="19">
        <v>4.2445186587310246</v>
      </c>
      <c r="M12" s="9">
        <v>474.34564401621907</v>
      </c>
      <c r="O12" s="18">
        <v>12084.624676628715</v>
      </c>
      <c r="Q12" s="9">
        <v>124.87233289017865</v>
      </c>
      <c r="R12" s="9">
        <v>231.10916213756508</v>
      </c>
      <c r="S12" s="20">
        <f t="shared" si="1"/>
        <v>125.12663800563438</v>
      </c>
      <c r="T12" s="20">
        <f t="shared" si="2"/>
        <v>234.32005894051431</v>
      </c>
      <c r="U12" s="21">
        <v>5.7784080777439776E-3</v>
      </c>
      <c r="V12" s="19">
        <v>38.562681696012021</v>
      </c>
      <c r="W12" s="21">
        <v>5.1554741679321739E-2</v>
      </c>
      <c r="X12" s="22">
        <v>0.55758504024331623</v>
      </c>
      <c r="Y12" s="22">
        <v>1.9540270910984108</v>
      </c>
      <c r="Z12" s="21">
        <v>1.2813263645637591</v>
      </c>
      <c r="AA12" s="19">
        <v>17.524734334348597</v>
      </c>
      <c r="AB12" s="19">
        <v>15.842809864001113</v>
      </c>
      <c r="AC12" s="22">
        <v>4.9256581381996662</v>
      </c>
      <c r="AD12" s="18">
        <v>53.941346179514881</v>
      </c>
      <c r="AE12" s="18">
        <v>80.060486076202338</v>
      </c>
      <c r="AF12" s="18">
        <v>17.274493586213794</v>
      </c>
      <c r="AG12" s="18">
        <v>147.8369050235118</v>
      </c>
      <c r="AH12" s="18">
        <v>29.441921195200091</v>
      </c>
      <c r="AI12" s="29">
        <f t="shared" si="19"/>
        <v>2.438146868246404E-2</v>
      </c>
      <c r="AJ12" s="23">
        <f t="shared" si="3"/>
        <v>62.9081267471648</v>
      </c>
      <c r="AK12" s="23">
        <f t="shared" si="4"/>
        <v>0.55554678533751878</v>
      </c>
      <c r="AL12" s="23">
        <f t="shared" si="5"/>
        <v>1.2200985563311078</v>
      </c>
      <c r="AM12" s="23">
        <f t="shared" si="6"/>
        <v>13.202885750664938</v>
      </c>
      <c r="AN12" s="23">
        <f t="shared" si="7"/>
        <v>22.758905232038348</v>
      </c>
      <c r="AO12" s="23">
        <f t="shared" si="8"/>
        <v>88.063991629892442</v>
      </c>
      <c r="AP12" s="23">
        <f t="shared" si="9"/>
        <v>438.85899900280094</v>
      </c>
      <c r="AQ12" s="23">
        <f t="shared" si="10"/>
        <v>20.02300056178726</v>
      </c>
      <c r="AR12" s="23">
        <f t="shared" si="11"/>
        <v>987.93674321455819</v>
      </c>
      <c r="AS12" s="23">
        <f t="shared" si="12"/>
        <v>500.37803797626458</v>
      </c>
      <c r="AT12" s="23">
        <f t="shared" si="13"/>
        <v>699.37220996816984</v>
      </c>
      <c r="AU12" s="23">
        <f t="shared" si="14"/>
        <v>918.24164610876892</v>
      </c>
      <c r="AV12" s="24">
        <f t="shared" si="15"/>
        <v>1196.8260648455321</v>
      </c>
      <c r="AW12" s="23">
        <f t="shared" si="16"/>
        <v>0.66744848486135122</v>
      </c>
      <c r="AX12" s="25">
        <f t="shared" si="17"/>
        <v>7.2687672976911522</v>
      </c>
      <c r="AY12" s="26">
        <f>V12/T12</f>
        <v>0.16457268690685051</v>
      </c>
      <c r="AZ12" s="23">
        <f>T12/K12</f>
        <v>55.205331341520953</v>
      </c>
      <c r="BA12" s="25">
        <f>AY12*(AZ12^0.5)</f>
        <v>1.2227798407632839</v>
      </c>
      <c r="BB12" s="27">
        <f>((3.998*LOG(BA12))+2.284)</f>
        <v>2.633218384102987</v>
      </c>
      <c r="BC12" s="28">
        <f>((-587474)+(1584.427*H12)-(203.3164*H12*LN(H12))+(0.09271*(H12^2)))/(8.314511*H12*LN(10))</f>
        <v>-15.291724416391325</v>
      </c>
      <c r="BD12" s="27">
        <f>((3.998*LOG(BA12))+2.284)+BC12</f>
        <v>-12.658506032288338</v>
      </c>
      <c r="BE12" s="24">
        <f>1000*(AJ12/AL12)/M12</f>
        <v>108.69684113529746</v>
      </c>
      <c r="BG12" s="29">
        <f>AQ12/AU12</f>
        <v>2.1805807487210688E-2</v>
      </c>
      <c r="BJ12"/>
    </row>
    <row r="13" spans="1:62" s="6" customFormat="1" ht="16" customHeight="1">
      <c r="A13" s="6">
        <v>6.2</v>
      </c>
      <c r="B13" s="6" t="s">
        <v>157</v>
      </c>
      <c r="C13" s="6" t="s">
        <v>159</v>
      </c>
      <c r="D13" s="6">
        <v>41.1</v>
      </c>
      <c r="E13" s="6">
        <v>500</v>
      </c>
      <c r="F13" s="6">
        <v>0.5</v>
      </c>
      <c r="G13" s="6">
        <v>0.95</v>
      </c>
      <c r="H13" s="16">
        <f t="shared" si="18"/>
        <v>1145.683954517679</v>
      </c>
      <c r="I13" s="17">
        <f t="shared" si="0"/>
        <v>872.68395451767901</v>
      </c>
      <c r="J13" s="18">
        <v>156.38029567538194</v>
      </c>
      <c r="K13" s="19">
        <v>10.849177921132764</v>
      </c>
      <c r="M13" s="9">
        <v>233.6722459951485</v>
      </c>
      <c r="O13" s="18">
        <v>8808.7060920991808</v>
      </c>
      <c r="Q13" s="9">
        <v>17.840114883859265</v>
      </c>
      <c r="R13" s="9">
        <v>30.907452761980924</v>
      </c>
      <c r="S13" s="20">
        <f t="shared" si="1"/>
        <v>17.876446650634801</v>
      </c>
      <c r="T13" s="20">
        <f t="shared" si="2"/>
        <v>31.336863004062444</v>
      </c>
      <c r="U13" s="21">
        <v>1.0677782852314051E-2</v>
      </c>
      <c r="V13" s="19">
        <v>9.3185837896324379</v>
      </c>
      <c r="W13" s="21">
        <v>7.1450085722467624E-2</v>
      </c>
      <c r="X13" s="22">
        <v>0.44397114724700815</v>
      </c>
      <c r="Y13" s="22">
        <v>0.99750416118228324</v>
      </c>
      <c r="Z13" s="21">
        <v>0.5858723796978722</v>
      </c>
      <c r="AA13" s="19">
        <v>8.7921530502801861</v>
      </c>
      <c r="AB13" s="19">
        <v>7.400754639828885</v>
      </c>
      <c r="AC13" s="22">
        <v>2.4319239212957728</v>
      </c>
      <c r="AD13" s="18">
        <v>22.935677507258148</v>
      </c>
      <c r="AE13" s="18">
        <v>37.675088085165875</v>
      </c>
      <c r="AF13" s="18">
        <v>8.7790189640066867</v>
      </c>
      <c r="AG13" s="18">
        <v>79.082282074591774</v>
      </c>
      <c r="AH13" s="18">
        <v>16.697489484552317</v>
      </c>
      <c r="AI13" s="29">
        <f t="shared" si="19"/>
        <v>4.50539360857133E-2</v>
      </c>
      <c r="AJ13" s="23">
        <f t="shared" si="3"/>
        <v>15.201604877051286</v>
      </c>
      <c r="AK13" s="23">
        <f t="shared" si="4"/>
        <v>0.76993626856107356</v>
      </c>
      <c r="AL13" s="23">
        <f t="shared" si="5"/>
        <v>0.97149047537638544</v>
      </c>
      <c r="AM13" s="23">
        <f t="shared" si="6"/>
        <v>6.7398929809613737</v>
      </c>
      <c r="AN13" s="23">
        <f t="shared" si="7"/>
        <v>10.406258964438226</v>
      </c>
      <c r="AO13" s="23">
        <f t="shared" si="8"/>
        <v>44.181673619498419</v>
      </c>
      <c r="AP13" s="23">
        <f t="shared" si="9"/>
        <v>205.00705373487216</v>
      </c>
      <c r="AQ13" s="23">
        <f t="shared" si="10"/>
        <v>9.8858695987633052</v>
      </c>
      <c r="AR13" s="23">
        <f t="shared" si="11"/>
        <v>420.06735361278658</v>
      </c>
      <c r="AS13" s="23">
        <f t="shared" si="12"/>
        <v>235.46930053228672</v>
      </c>
      <c r="AT13" s="23">
        <f t="shared" si="13"/>
        <v>355.42586898812499</v>
      </c>
      <c r="AU13" s="23">
        <f t="shared" si="14"/>
        <v>491.19429859994887</v>
      </c>
      <c r="AV13" s="24">
        <f t="shared" si="15"/>
        <v>678.75973514440318</v>
      </c>
      <c r="AW13" s="23">
        <f t="shared" si="16"/>
        <v>0.6030412876334067</v>
      </c>
      <c r="AX13" s="25">
        <f t="shared" si="17"/>
        <v>12.277041678868327</v>
      </c>
      <c r="AY13" s="26">
        <f>V13/T13</f>
        <v>0.29736811206738839</v>
      </c>
      <c r="AZ13" s="23">
        <f>T13/K13</f>
        <v>2.8884089865484075</v>
      </c>
      <c r="BA13" s="25">
        <f>AY13*(AZ13^0.5)</f>
        <v>0.50538661939697593</v>
      </c>
      <c r="BB13" s="27">
        <f>((3.998*LOG(BA13))+2.284)</f>
        <v>1.0990877099879561</v>
      </c>
      <c r="BC13" s="28">
        <f>((-587474)+(1584.427*H13)-(203.3164*H13*LN(H13))+(0.09271*(H13^2)))/(8.314511*H13*LN(10))</f>
        <v>-13.279767089275355</v>
      </c>
      <c r="BD13" s="27">
        <f>((3.998*LOG(BA13))+2.284)+BC13</f>
        <v>-12.180679379287399</v>
      </c>
      <c r="BE13" s="24">
        <f>1000*(AJ13/AL13)/M13</f>
        <v>66.964365798304755</v>
      </c>
      <c r="BG13" s="29">
        <f>AQ13/AU13</f>
        <v>2.0126189629930558E-2</v>
      </c>
      <c r="BJ13"/>
    </row>
    <row r="14" spans="1:62" s="6" customFormat="1" ht="16" customHeight="1">
      <c r="A14" s="6">
        <v>7.1</v>
      </c>
      <c r="B14" s="6" t="s">
        <v>157</v>
      </c>
      <c r="C14" s="6" t="s">
        <v>159</v>
      </c>
      <c r="D14" s="6">
        <v>41.1</v>
      </c>
      <c r="E14" s="6">
        <v>500</v>
      </c>
      <c r="F14" s="6">
        <v>0.5</v>
      </c>
      <c r="G14" s="6">
        <v>0.95</v>
      </c>
      <c r="H14" s="16">
        <f t="shared" si="18"/>
        <v>1170.4048897612684</v>
      </c>
      <c r="I14" s="17">
        <f t="shared" si="0"/>
        <v>897.40488976126835</v>
      </c>
      <c r="J14" s="18">
        <v>555.97301158320704</v>
      </c>
      <c r="K14" s="19">
        <v>13.435868588452017</v>
      </c>
      <c r="M14" s="9">
        <v>5210.1342276800433</v>
      </c>
      <c r="O14" s="18">
        <v>10609.86181620939</v>
      </c>
      <c r="Q14" s="9">
        <v>959.77115493177348</v>
      </c>
      <c r="R14" s="9">
        <v>1214.7646851489696</v>
      </c>
      <c r="S14" s="20">
        <f t="shared" si="1"/>
        <v>961.72574894565037</v>
      </c>
      <c r="T14" s="20">
        <f t="shared" si="2"/>
        <v>1231.6419218963329</v>
      </c>
      <c r="U14" s="21">
        <v>2.2585239836792014E-2</v>
      </c>
      <c r="V14" s="30">
        <v>448.76942851749465</v>
      </c>
      <c r="W14" s="31">
        <v>0.28966296131399843</v>
      </c>
      <c r="X14" s="32">
        <v>5.585699849346704</v>
      </c>
      <c r="Y14" s="32">
        <v>19.917468299768906</v>
      </c>
      <c r="Z14" s="21">
        <v>12.474763892022137</v>
      </c>
      <c r="AA14" s="19">
        <v>194.76137585600873</v>
      </c>
      <c r="AB14" s="19">
        <v>188.91913498191201</v>
      </c>
      <c r="AC14" s="22">
        <v>58.758592515593655</v>
      </c>
      <c r="AD14" s="18">
        <v>572.71904457624009</v>
      </c>
      <c r="AE14" s="18">
        <v>716.62442291857963</v>
      </c>
      <c r="AF14" s="18">
        <v>128.32087533521661</v>
      </c>
      <c r="AG14" s="18">
        <v>935.92322766134237</v>
      </c>
      <c r="AH14" s="18">
        <v>152.22206198451454</v>
      </c>
      <c r="AI14" s="29">
        <f t="shared" si="19"/>
        <v>9.5296370619375598E-2</v>
      </c>
      <c r="AJ14" s="23">
        <f t="shared" si="3"/>
        <v>732.08715908237298</v>
      </c>
      <c r="AK14" s="23">
        <f t="shared" si="4"/>
        <v>3.1213681176077421</v>
      </c>
      <c r="AL14" s="23">
        <f t="shared" si="5"/>
        <v>12.222537963559526</v>
      </c>
      <c r="AM14" s="23">
        <f t="shared" si="6"/>
        <v>134.57748851195208</v>
      </c>
      <c r="AN14" s="23">
        <f t="shared" si="7"/>
        <v>221.57662330412322</v>
      </c>
      <c r="AO14" s="23">
        <f t="shared" si="8"/>
        <v>978.70038118597347</v>
      </c>
      <c r="AP14" s="23">
        <f t="shared" si="9"/>
        <v>5233.2170355100279</v>
      </c>
      <c r="AQ14" s="23">
        <f t="shared" si="10"/>
        <v>238.85606713655957</v>
      </c>
      <c r="AR14" s="23">
        <f t="shared" si="11"/>
        <v>10489.359790773628</v>
      </c>
      <c r="AS14" s="23">
        <f t="shared" si="12"/>
        <v>4478.9026432411229</v>
      </c>
      <c r="AT14" s="23">
        <f t="shared" si="13"/>
        <v>5195.1771390775957</v>
      </c>
      <c r="AU14" s="23">
        <f t="shared" si="14"/>
        <v>5813.187749449331</v>
      </c>
      <c r="AV14" s="24">
        <f t="shared" si="15"/>
        <v>6187.8886985575018</v>
      </c>
      <c r="AW14" s="23">
        <f t="shared" si="16"/>
        <v>0.61053821319806689</v>
      </c>
      <c r="AX14" s="25">
        <f t="shared" si="17"/>
        <v>1.0502640539279016</v>
      </c>
      <c r="BH14" s="6" t="s">
        <v>161</v>
      </c>
      <c r="BJ14"/>
    </row>
    <row r="15" spans="1:62" s="6" customFormat="1" ht="16" customHeight="1">
      <c r="A15" s="6">
        <v>8.1</v>
      </c>
      <c r="B15" s="6" t="s">
        <v>157</v>
      </c>
      <c r="C15" s="6" t="s">
        <v>158</v>
      </c>
      <c r="D15" s="6">
        <v>41.1</v>
      </c>
      <c r="E15" s="6">
        <v>500</v>
      </c>
      <c r="F15" s="6">
        <v>0.5</v>
      </c>
      <c r="G15" s="6">
        <v>0.95</v>
      </c>
      <c r="H15" s="16">
        <f t="shared" si="18"/>
        <v>1067.6507254322012</v>
      </c>
      <c r="I15" s="17">
        <f t="shared" si="0"/>
        <v>794.65072543220117</v>
      </c>
      <c r="J15" s="18">
        <v>86.823405304167252</v>
      </c>
      <c r="K15" s="19">
        <v>5.1765058295026716</v>
      </c>
      <c r="M15" s="9">
        <v>328.58373755990607</v>
      </c>
      <c r="O15" s="18">
        <v>12010.877844175911</v>
      </c>
      <c r="Q15" s="9">
        <v>30.916757832602109</v>
      </c>
      <c r="R15" s="9">
        <v>70.354220970958437</v>
      </c>
      <c r="S15" s="20">
        <f t="shared" si="1"/>
        <v>30.979720456012458</v>
      </c>
      <c r="T15" s="20">
        <f t="shared" si="2"/>
        <v>71.331681756589987</v>
      </c>
      <c r="U15" s="21">
        <v>3.0489172385366966E-2</v>
      </c>
      <c r="V15" s="19">
        <v>17.252209121639801</v>
      </c>
      <c r="W15" s="21">
        <v>0.13601163029641847</v>
      </c>
      <c r="X15" s="22">
        <v>0.29181207542544357</v>
      </c>
      <c r="Y15" s="22">
        <v>1.0121907228519449</v>
      </c>
      <c r="Z15" s="21">
        <v>0.66607971245998854</v>
      </c>
      <c r="AA15" s="19">
        <v>11.679153835595661</v>
      </c>
      <c r="AB15" s="19">
        <v>7.7047638082360539</v>
      </c>
      <c r="AC15" s="22">
        <v>2.7607762943931209</v>
      </c>
      <c r="AD15" s="18">
        <v>30.607090244095545</v>
      </c>
      <c r="AE15" s="18">
        <v>54.410257025190617</v>
      </c>
      <c r="AF15" s="18">
        <v>12.263130447444404</v>
      </c>
      <c r="AG15" s="18">
        <v>113.37351744962221</v>
      </c>
      <c r="AH15" s="18">
        <v>23.723245323461693</v>
      </c>
      <c r="AI15" s="29">
        <f t="shared" si="19"/>
        <v>0.12864629698467075</v>
      </c>
      <c r="AJ15" s="23">
        <f t="shared" si="3"/>
        <v>28.143897425187276</v>
      </c>
      <c r="AK15" s="23">
        <f t="shared" si="4"/>
        <v>1.465642567849337</v>
      </c>
      <c r="AL15" s="23">
        <f t="shared" si="5"/>
        <v>0.63853845826136446</v>
      </c>
      <c r="AM15" s="23">
        <f t="shared" si="6"/>
        <v>6.8391265057563846</v>
      </c>
      <c r="AN15" s="23">
        <f t="shared" si="7"/>
        <v>11.830900754173863</v>
      </c>
      <c r="AO15" s="23">
        <f t="shared" si="8"/>
        <v>58.689215254249554</v>
      </c>
      <c r="AP15" s="23">
        <f t="shared" si="9"/>
        <v>213.42836033894886</v>
      </c>
      <c r="AQ15" s="23">
        <f t="shared" si="10"/>
        <v>11.22266786338667</v>
      </c>
      <c r="AR15" s="23">
        <f t="shared" si="11"/>
        <v>560.56941839002832</v>
      </c>
      <c r="AS15" s="23">
        <f t="shared" si="12"/>
        <v>340.06410640744133</v>
      </c>
      <c r="AT15" s="23">
        <f t="shared" si="13"/>
        <v>496.48301406657504</v>
      </c>
      <c r="AU15" s="23">
        <f t="shared" si="14"/>
        <v>704.18333819641123</v>
      </c>
      <c r="AV15" s="24">
        <f t="shared" si="15"/>
        <v>964.35956599437782</v>
      </c>
      <c r="AW15" s="23">
        <f t="shared" si="16"/>
        <v>0.59052507222271133</v>
      </c>
      <c r="AX15" s="25">
        <f t="shared" si="17"/>
        <v>8.385956329713693</v>
      </c>
      <c r="AY15" s="26">
        <f>V15/T15</f>
        <v>0.24185899864958607</v>
      </c>
      <c r="AZ15" s="23">
        <f>T15/K15</f>
        <v>13.779890162597018</v>
      </c>
      <c r="BA15" s="25">
        <f>AY15*(AZ15^0.5)</f>
        <v>0.8978114265338677</v>
      </c>
      <c r="BB15" s="27">
        <f>((3.998*LOG(BA15))+2.284)</f>
        <v>2.096834143379863</v>
      </c>
      <c r="BC15" s="28">
        <f>((-587474)+(1584.427*H15)-(203.3164*H15*LN(H15))+(0.09271*(H15^2)))/(8.314511*H15*LN(10))</f>
        <v>-14.86609801561022</v>
      </c>
      <c r="BD15" s="27">
        <f>((3.998*LOG(BA15))+2.284)+BC15</f>
        <v>-12.769263872230358</v>
      </c>
      <c r="BE15" s="24">
        <f>1000*(AJ15/AL15)/M15</f>
        <v>134.13778006556234</v>
      </c>
      <c r="BG15" s="29">
        <f>AQ15/AU15</f>
        <v>1.5937139171924623E-2</v>
      </c>
      <c r="BJ15"/>
    </row>
    <row r="16" spans="1:62" s="6" customFormat="1" ht="16" customHeight="1">
      <c r="A16" s="6">
        <v>8.1999999999999993</v>
      </c>
      <c r="B16" s="6" t="s">
        <v>157</v>
      </c>
      <c r="C16" s="6" t="s">
        <v>159</v>
      </c>
      <c r="D16" s="6">
        <v>41.1</v>
      </c>
      <c r="E16" s="6">
        <v>500</v>
      </c>
      <c r="F16" s="6">
        <v>0.5</v>
      </c>
      <c r="G16" s="6">
        <v>0.95</v>
      </c>
      <c r="H16" s="16">
        <f t="shared" si="18"/>
        <v>1156.6755988482978</v>
      </c>
      <c r="I16" s="17">
        <f t="shared" si="0"/>
        <v>883.6755988482978</v>
      </c>
      <c r="J16" s="18">
        <v>187.37449843316742</v>
      </c>
      <c r="K16" s="19">
        <v>11.944807794052467</v>
      </c>
      <c r="M16" s="9">
        <v>683.77852230874009</v>
      </c>
      <c r="O16" s="18">
        <v>9698.6544486960593</v>
      </c>
      <c r="Q16" s="9">
        <v>61.93200712056823</v>
      </c>
      <c r="R16" s="9">
        <v>111.96903993500553</v>
      </c>
      <c r="S16" s="20">
        <f t="shared" si="1"/>
        <v>62.058132947296009</v>
      </c>
      <c r="T16" s="20">
        <f t="shared" si="2"/>
        <v>113.52467290529253</v>
      </c>
      <c r="U16" s="21">
        <v>0.1250016120364274</v>
      </c>
      <c r="V16" s="19">
        <v>25.184176834754844</v>
      </c>
      <c r="W16" s="21">
        <v>6.2733359670592612E-2</v>
      </c>
      <c r="X16" s="22">
        <v>0.77961562626520786</v>
      </c>
      <c r="Y16" s="22">
        <v>1.8674322051290122</v>
      </c>
      <c r="Z16" s="21">
        <v>1.1336452867092521</v>
      </c>
      <c r="AA16" s="19">
        <v>24.305811429732568</v>
      </c>
      <c r="AB16" s="19">
        <v>15.851764438859851</v>
      </c>
      <c r="AC16" s="22">
        <v>5.3691843610107481</v>
      </c>
      <c r="AD16" s="18">
        <v>61.2662350824437</v>
      </c>
      <c r="AE16" s="18">
        <v>109.66788211632658</v>
      </c>
      <c r="AF16" s="18">
        <v>24.563960213132475</v>
      </c>
      <c r="AG16" s="18">
        <v>219.29628226547112</v>
      </c>
      <c r="AH16" s="18">
        <v>43.810896662256013</v>
      </c>
      <c r="AI16" s="29">
        <f t="shared" si="19"/>
        <v>0.52743296217901858</v>
      </c>
      <c r="AJ16" s="23">
        <f t="shared" si="3"/>
        <v>41.083485864200398</v>
      </c>
      <c r="AK16" s="23">
        <f t="shared" si="4"/>
        <v>0.67600603093311007</v>
      </c>
      <c r="AL16" s="23">
        <f t="shared" si="5"/>
        <v>1.705942289420586</v>
      </c>
      <c r="AM16" s="23">
        <f t="shared" si="6"/>
        <v>12.617785169790624</v>
      </c>
      <c r="AN16" s="23">
        <f t="shared" si="7"/>
        <v>20.135795501052435</v>
      </c>
      <c r="AO16" s="23">
        <f t="shared" si="8"/>
        <v>122.13975592830435</v>
      </c>
      <c r="AP16" s="23">
        <f t="shared" si="9"/>
        <v>439.1070481678629</v>
      </c>
      <c r="AQ16" s="23">
        <f t="shared" si="10"/>
        <v>21.825952687035564</v>
      </c>
      <c r="AR16" s="23">
        <f t="shared" si="11"/>
        <v>1122.092217627174</v>
      </c>
      <c r="AS16" s="23">
        <f t="shared" si="12"/>
        <v>685.42426322704114</v>
      </c>
      <c r="AT16" s="23">
        <f t="shared" si="13"/>
        <v>994.49231632115288</v>
      </c>
      <c r="AU16" s="23">
        <f t="shared" si="14"/>
        <v>1362.0887097234231</v>
      </c>
      <c r="AV16" s="24">
        <f t="shared" si="15"/>
        <v>1780.9307586282932</v>
      </c>
      <c r="AW16" s="23">
        <f t="shared" si="16"/>
        <v>0.51291890157343312</v>
      </c>
      <c r="AX16" s="25">
        <f t="shared" si="17"/>
        <v>3.7656791214250878</v>
      </c>
      <c r="AY16" s="26">
        <f>V16/T16</f>
        <v>0.22183879671483075</v>
      </c>
      <c r="AZ16" s="23">
        <f>T16/K16</f>
        <v>9.5041021055038239</v>
      </c>
      <c r="BA16" s="25">
        <f>AY16*(AZ16^0.5)</f>
        <v>0.6839006989936387</v>
      </c>
      <c r="BB16" s="27">
        <f>((3.998*LOG(BA16))+2.284)</f>
        <v>1.624302204353345</v>
      </c>
      <c r="BC16" s="28">
        <f>((-587474)+(1584.427*H16)-(203.3164*H16*LN(H16))+(0.09271*(H16^2)))/(8.314511*H16*LN(10))</f>
        <v>-13.073420280791799</v>
      </c>
      <c r="BD16" s="27">
        <f>((3.998*LOG(BA16))+2.284)+BC16</f>
        <v>-11.449118076438454</v>
      </c>
      <c r="BE16" s="24">
        <f>1000*(AJ16/AL16)/M16</f>
        <v>35.219849434668461</v>
      </c>
      <c r="BG16" s="29">
        <f>AQ16/AU16</f>
        <v>1.6023884884463508E-2</v>
      </c>
      <c r="BJ16"/>
    </row>
    <row r="17" spans="1:62" s="6" customFormat="1" ht="16" customHeight="1">
      <c r="A17" s="6">
        <v>9.1</v>
      </c>
      <c r="B17" s="6" t="s">
        <v>157</v>
      </c>
      <c r="C17" s="6" t="s">
        <v>158</v>
      </c>
      <c r="D17" s="6">
        <v>41.1</v>
      </c>
      <c r="E17" s="6">
        <v>500</v>
      </c>
      <c r="F17" s="6">
        <v>0.5</v>
      </c>
      <c r="G17" s="6">
        <v>0.95</v>
      </c>
      <c r="H17" s="16">
        <f t="shared" si="18"/>
        <v>1117.6632739417062</v>
      </c>
      <c r="I17" s="17">
        <f t="shared" si="0"/>
        <v>844.66327394170617</v>
      </c>
      <c r="J17" s="18">
        <v>174.48870339895404</v>
      </c>
      <c r="K17" s="19">
        <v>8.4171374769915435</v>
      </c>
      <c r="M17" s="9">
        <v>1485.4347324067435</v>
      </c>
      <c r="O17" s="18">
        <v>11469.587891522362</v>
      </c>
      <c r="Q17" s="9">
        <v>201.50988543024133</v>
      </c>
      <c r="R17" s="9">
        <v>447.61263887273975</v>
      </c>
      <c r="S17" s="20">
        <f t="shared" si="1"/>
        <v>201.92026452298137</v>
      </c>
      <c r="T17" s="20">
        <f t="shared" si="2"/>
        <v>453.8315095476317</v>
      </c>
      <c r="U17" s="21">
        <v>1.6309447340320901E-2</v>
      </c>
      <c r="V17" s="19">
        <v>85.520780248202456</v>
      </c>
      <c r="W17" s="21">
        <v>7.881915264154174E-2</v>
      </c>
      <c r="X17" s="22">
        <v>1.0491821425841037</v>
      </c>
      <c r="Y17" s="22">
        <v>3.2696683915434139</v>
      </c>
      <c r="Z17" s="21">
        <v>2.0928360228827132</v>
      </c>
      <c r="AA17" s="19">
        <v>53.17945477958024</v>
      </c>
      <c r="AB17" s="19">
        <v>34.095556618797033</v>
      </c>
      <c r="AC17" s="22">
        <v>12.033272257847624</v>
      </c>
      <c r="AD17" s="18">
        <v>136.78548784111297</v>
      </c>
      <c r="AE17" s="18">
        <v>237.1216763868336</v>
      </c>
      <c r="AF17" s="18">
        <v>51.839813604120529</v>
      </c>
      <c r="AG17" s="18">
        <v>446.792054508408</v>
      </c>
      <c r="AH17" s="18">
        <v>87.912033325303753</v>
      </c>
      <c r="AI17" s="29">
        <f t="shared" si="19"/>
        <v>6.881623350346372E-2</v>
      </c>
      <c r="AJ17" s="23">
        <f t="shared" si="3"/>
        <v>139.51187642447383</v>
      </c>
      <c r="AK17" s="23">
        <f t="shared" si="4"/>
        <v>0.84934431725799298</v>
      </c>
      <c r="AL17" s="23">
        <f t="shared" si="5"/>
        <v>2.2958033754575573</v>
      </c>
      <c r="AM17" s="23">
        <f t="shared" si="6"/>
        <v>22.092353996914959</v>
      </c>
      <c r="AN17" s="23">
        <f t="shared" si="7"/>
        <v>37.17293113468407</v>
      </c>
      <c r="AO17" s="23">
        <f t="shared" si="8"/>
        <v>267.23344110341827</v>
      </c>
      <c r="AP17" s="23">
        <f t="shared" si="9"/>
        <v>944.47525259825579</v>
      </c>
      <c r="AQ17" s="23">
        <f t="shared" si="10"/>
        <v>48.915740885559451</v>
      </c>
      <c r="AR17" s="23">
        <f t="shared" si="11"/>
        <v>2505.2287150386987</v>
      </c>
      <c r="AS17" s="23">
        <f t="shared" si="12"/>
        <v>1482.01047741771</v>
      </c>
      <c r="AT17" s="23">
        <f t="shared" si="13"/>
        <v>2098.777878709333</v>
      </c>
      <c r="AU17" s="23">
        <f t="shared" si="14"/>
        <v>2775.1059286236523</v>
      </c>
      <c r="AV17" s="24">
        <f t="shared" si="15"/>
        <v>3573.6598912725103</v>
      </c>
      <c r="AW17" s="23">
        <f t="shared" si="16"/>
        <v>0.48379392248351116</v>
      </c>
      <c r="AX17" s="25">
        <f t="shared" si="17"/>
        <v>1.7433349750488791</v>
      </c>
      <c r="AY17" s="26">
        <f>V17/T17</f>
        <v>0.18844169796285742</v>
      </c>
      <c r="AZ17" s="23">
        <f>T17/K17</f>
        <v>53.917559358890301</v>
      </c>
      <c r="BA17" s="25">
        <f>AY17*(AZ17^0.5)</f>
        <v>1.3837005748950355</v>
      </c>
      <c r="BB17" s="27">
        <f>((3.998*LOG(BA17))+2.284)</f>
        <v>2.8478864012701504</v>
      </c>
      <c r="BC17" s="28">
        <f>((-587474)+(1584.427*H17)-(203.3164*H17*LN(H17))+(0.09271*(H17^2)))/(8.314511*H17*LN(10))</f>
        <v>-13.823981935946554</v>
      </c>
      <c r="BD17" s="27">
        <f>((3.998*LOG(BA17))+2.284)+BC17</f>
        <v>-10.976095534676404</v>
      </c>
      <c r="BE17" s="24">
        <f>1000*(AJ17/AL17)/M17</f>
        <v>40.909381687858655</v>
      </c>
      <c r="BG17" s="29">
        <f>AQ17/AU17</f>
        <v>1.7626621161023506E-2</v>
      </c>
      <c r="BJ17"/>
    </row>
    <row r="18" spans="1:62" s="6" customFormat="1" ht="16" customHeight="1">
      <c r="A18" s="6">
        <v>9.1999999999999993</v>
      </c>
      <c r="B18" s="6" t="s">
        <v>157</v>
      </c>
      <c r="C18" s="6" t="s">
        <v>159</v>
      </c>
      <c r="D18" s="6">
        <v>41.1</v>
      </c>
      <c r="E18" s="6">
        <v>500</v>
      </c>
      <c r="F18" s="6">
        <v>0.5</v>
      </c>
      <c r="G18" s="6">
        <v>0.95</v>
      </c>
      <c r="H18" s="16">
        <f t="shared" si="18"/>
        <v>1049.7836405208125</v>
      </c>
      <c r="I18" s="17">
        <f t="shared" si="0"/>
        <v>776.78364052081247</v>
      </c>
      <c r="J18" s="18">
        <v>130.35936797516302</v>
      </c>
      <c r="K18" s="19">
        <v>4.3026282474908646</v>
      </c>
      <c r="M18" s="9">
        <v>363.3714048008045</v>
      </c>
      <c r="O18" s="18">
        <v>10035.80458638153</v>
      </c>
      <c r="Q18" s="9">
        <v>42.21750740963661</v>
      </c>
      <c r="R18" s="9">
        <v>97.016559116855248</v>
      </c>
      <c r="S18" s="20">
        <f t="shared" si="1"/>
        <v>42.303484245718487</v>
      </c>
      <c r="T18" s="20">
        <f t="shared" si="2"/>
        <v>98.36445098154914</v>
      </c>
      <c r="U18" s="21">
        <v>4.4463881943554932E-2</v>
      </c>
      <c r="V18" s="19">
        <v>17.84330642073628</v>
      </c>
      <c r="W18" s="21">
        <v>5.2505086612105352E-2</v>
      </c>
      <c r="X18" s="22">
        <v>0.42679525542750796</v>
      </c>
      <c r="Y18" s="22">
        <v>1.2762148517854206</v>
      </c>
      <c r="Z18" s="21">
        <v>0.95672943421922019</v>
      </c>
      <c r="AA18" s="19">
        <v>14.244652920858083</v>
      </c>
      <c r="AB18" s="19">
        <v>11.149611566057173</v>
      </c>
      <c r="AC18" s="22">
        <v>3.6204659176148204</v>
      </c>
      <c r="AD18" s="18">
        <v>40.105334668868103</v>
      </c>
      <c r="AE18" s="18">
        <v>67.186762652521836</v>
      </c>
      <c r="AF18" s="18">
        <v>15.332344057153641</v>
      </c>
      <c r="AG18" s="18">
        <v>142.59931773509842</v>
      </c>
      <c r="AH18" s="18">
        <v>29.696842705627525</v>
      </c>
      <c r="AI18" s="29">
        <f t="shared" si="19"/>
        <v>0.18761131621753138</v>
      </c>
      <c r="AJ18" s="23">
        <f t="shared" si="3"/>
        <v>29.108167081135857</v>
      </c>
      <c r="AK18" s="23">
        <f t="shared" si="4"/>
        <v>0.56578757125113532</v>
      </c>
      <c r="AL18" s="23">
        <f t="shared" si="5"/>
        <v>0.9339064670186169</v>
      </c>
      <c r="AM18" s="23">
        <f t="shared" si="6"/>
        <v>8.6230733228744647</v>
      </c>
      <c r="AN18" s="23">
        <f t="shared" si="7"/>
        <v>16.993418014550979</v>
      </c>
      <c r="AO18" s="23">
        <f t="shared" si="8"/>
        <v>71.581170456573275</v>
      </c>
      <c r="AP18" s="23">
        <f t="shared" si="9"/>
        <v>308.85350598496325</v>
      </c>
      <c r="AQ18" s="23">
        <f t="shared" si="10"/>
        <v>14.71734112851553</v>
      </c>
      <c r="AR18" s="23">
        <f t="shared" si="11"/>
        <v>734.5299389902583</v>
      </c>
      <c r="AS18" s="23">
        <f t="shared" si="12"/>
        <v>419.91726657826149</v>
      </c>
      <c r="AT18" s="23">
        <f t="shared" si="13"/>
        <v>620.74267437868991</v>
      </c>
      <c r="AU18" s="23">
        <f t="shared" si="14"/>
        <v>885.7100480440896</v>
      </c>
      <c r="AV18" s="24">
        <f t="shared" si="15"/>
        <v>1207.1887278710376</v>
      </c>
      <c r="AW18" s="23">
        <f t="shared" si="16"/>
        <v>0.68399086784682039</v>
      </c>
      <c r="AX18" s="25">
        <f t="shared" si="17"/>
        <v>7.7225144883167465</v>
      </c>
      <c r="AY18" s="26">
        <f>V18/T18</f>
        <v>0.18139994929756956</v>
      </c>
      <c r="AZ18" s="23">
        <f>T18/K18</f>
        <v>22.86148031471501</v>
      </c>
      <c r="BA18" s="25">
        <f>AY18*(AZ18^0.5)</f>
        <v>0.86733991966445623</v>
      </c>
      <c r="BB18" s="27">
        <f>((3.998*LOG(BA18))+2.284)</f>
        <v>2.0368809630348674</v>
      </c>
      <c r="BC18" s="28">
        <f>((-587474)+(1584.427*H18)-(203.3164*H18*LN(H18))+(0.09271*(H18^2)))/(8.314511*H18*LN(10))</f>
        <v>-15.262564304105991</v>
      </c>
      <c r="BD18" s="27">
        <f>((3.998*LOG(BA18))+2.284)+BC18</f>
        <v>-13.225683341071123</v>
      </c>
      <c r="BE18" s="24">
        <f>1000*(AJ18/AL18)/M18</f>
        <v>85.77500034077822</v>
      </c>
      <c r="BG18" s="29">
        <f>AQ18/AU18</f>
        <v>1.6616432387795286E-2</v>
      </c>
      <c r="BJ18"/>
    </row>
    <row r="19" spans="1:62" s="6" customFormat="1" ht="16" customHeight="1">
      <c r="A19" s="6">
        <v>11.1</v>
      </c>
      <c r="B19" s="6" t="s">
        <v>157</v>
      </c>
      <c r="C19" s="6" t="s">
        <v>159</v>
      </c>
      <c r="D19" s="6">
        <v>41.1</v>
      </c>
      <c r="E19" s="6">
        <v>500</v>
      </c>
      <c r="F19" s="6">
        <v>0.5</v>
      </c>
      <c r="G19" s="6">
        <v>0.95</v>
      </c>
      <c r="H19" s="16">
        <f t="shared" si="18"/>
        <v>1205.0252592145532</v>
      </c>
      <c r="I19" s="17">
        <f t="shared" si="0"/>
        <v>932.02525921455322</v>
      </c>
      <c r="J19" s="18">
        <v>629.95642331260547</v>
      </c>
      <c r="K19" s="19">
        <v>17.861547765821271</v>
      </c>
      <c r="M19" s="9">
        <v>2993.8464927234213</v>
      </c>
      <c r="O19" s="18">
        <v>8285.463517699558</v>
      </c>
      <c r="Q19" s="9">
        <v>409.30170593412515</v>
      </c>
      <c r="R19" s="9">
        <v>273.89171582612221</v>
      </c>
      <c r="S19" s="20">
        <f t="shared" si="1"/>
        <v>410.13525741165972</v>
      </c>
      <c r="T19" s="20">
        <f t="shared" si="2"/>
        <v>277.6970086434485</v>
      </c>
      <c r="U19" s="21">
        <v>0.5161631784250712</v>
      </c>
      <c r="V19" s="30">
        <v>144.26964708271998</v>
      </c>
      <c r="W19" s="31">
        <v>1.5977185132290828</v>
      </c>
      <c r="X19" s="32">
        <v>31.080791239525375</v>
      </c>
      <c r="Y19" s="32">
        <v>46.043752709517136</v>
      </c>
      <c r="Z19" s="21">
        <v>27.12786099022485</v>
      </c>
      <c r="AA19" s="19">
        <v>117.53704171369274</v>
      </c>
      <c r="AB19" s="19">
        <v>209.85698957131359</v>
      </c>
      <c r="AC19" s="22">
        <v>50.449399790241934</v>
      </c>
      <c r="AD19" s="18">
        <v>399.62192753050607</v>
      </c>
      <c r="AE19" s="18">
        <v>420.68636949988627</v>
      </c>
      <c r="AF19" s="18">
        <v>77.079055823825001</v>
      </c>
      <c r="AG19" s="18">
        <v>577.37130452509678</v>
      </c>
      <c r="AH19" s="18">
        <v>97.400667002079516</v>
      </c>
      <c r="AI19" s="29">
        <f t="shared" si="19"/>
        <v>2.1779037064348996</v>
      </c>
      <c r="AJ19" s="23">
        <f t="shared" si="3"/>
        <v>235.35015837311579</v>
      </c>
      <c r="AK19" s="23">
        <f t="shared" si="4"/>
        <v>17.216794323589255</v>
      </c>
      <c r="AL19" s="23">
        <f t="shared" si="5"/>
        <v>68.010484112746994</v>
      </c>
      <c r="AM19" s="23">
        <f t="shared" si="6"/>
        <v>311.10643722646716</v>
      </c>
      <c r="AN19" s="23">
        <f t="shared" si="7"/>
        <v>481.84477780150706</v>
      </c>
      <c r="AO19" s="23">
        <f t="shared" si="8"/>
        <v>590.63840057132029</v>
      </c>
      <c r="AP19" s="23">
        <f t="shared" si="9"/>
        <v>5813.2130075156119</v>
      </c>
      <c r="AQ19" s="23">
        <f t="shared" si="10"/>
        <v>205.07886093594283</v>
      </c>
      <c r="AR19" s="23">
        <f t="shared" si="11"/>
        <v>7319.0829218041399</v>
      </c>
      <c r="AS19" s="23">
        <f t="shared" si="12"/>
        <v>2629.2898093742892</v>
      </c>
      <c r="AT19" s="23">
        <f t="shared" si="13"/>
        <v>3120.6095475232796</v>
      </c>
      <c r="AU19" s="23">
        <f t="shared" si="14"/>
        <v>3586.157170963334</v>
      </c>
      <c r="AV19" s="24">
        <f t="shared" si="15"/>
        <v>3959.3767074016064</v>
      </c>
      <c r="AW19" s="23">
        <f t="shared" si="16"/>
        <v>1.1240660164891139</v>
      </c>
      <c r="AX19" s="25">
        <f t="shared" si="17"/>
        <v>3.1344583154094185</v>
      </c>
      <c r="BH19" s="6" t="s">
        <v>161</v>
      </c>
      <c r="BJ19"/>
    </row>
    <row r="20" spans="1:62" s="6" customFormat="1" ht="16" customHeight="1">
      <c r="A20" s="7" t="s">
        <v>162</v>
      </c>
      <c r="B20" s="14"/>
      <c r="J20" s="18"/>
      <c r="K20" s="19"/>
      <c r="M20" s="9"/>
      <c r="O20" s="18"/>
      <c r="Q20" s="9"/>
      <c r="R20" s="9"/>
      <c r="U20" s="21"/>
      <c r="V20" s="19"/>
      <c r="W20" s="21"/>
      <c r="X20" s="22"/>
      <c r="Y20" s="22"/>
      <c r="Z20" s="21"/>
      <c r="AA20" s="19"/>
      <c r="AB20" s="19"/>
      <c r="AC20" s="22"/>
      <c r="AD20" s="18"/>
      <c r="AE20" s="18"/>
      <c r="AF20" s="18"/>
      <c r="AG20" s="18"/>
      <c r="AH20" s="18"/>
      <c r="BJ20"/>
    </row>
    <row r="21" spans="1:62" s="6" customFormat="1" ht="16" customHeight="1">
      <c r="A21" s="6">
        <v>1.1000000000000001</v>
      </c>
      <c r="B21" s="6" t="s">
        <v>157</v>
      </c>
      <c r="C21" s="6" t="s">
        <v>158</v>
      </c>
      <c r="D21" s="6">
        <v>42.6</v>
      </c>
      <c r="E21" s="6">
        <v>500</v>
      </c>
      <c r="F21" s="6">
        <v>0.75</v>
      </c>
      <c r="G21" s="6">
        <v>0.9</v>
      </c>
      <c r="H21" s="16">
        <f>((-4800+(0.4748*(E21-1000)))/(LOG(K21)-5.711-LOG(F21)+LOG(G21)))</f>
        <v>1034.1666218347252</v>
      </c>
      <c r="I21" s="17">
        <f t="shared" ref="I21:I39" si="20">H21-273</f>
        <v>761.16662183472522</v>
      </c>
      <c r="J21" s="18">
        <v>172.45622185645695</v>
      </c>
      <c r="K21" s="19">
        <v>5.7655869047188517</v>
      </c>
      <c r="M21" s="9">
        <v>889.76013576247908</v>
      </c>
      <c r="O21" s="18">
        <v>11519.666521279516</v>
      </c>
      <c r="Q21" s="9">
        <v>727.1292815021925</v>
      </c>
      <c r="R21" s="9">
        <v>641.67157471624205</v>
      </c>
      <c r="S21" s="20">
        <f t="shared" ref="S21:S39" si="21">Q21*EXP(0.0000000000495*1000000*D21)</f>
        <v>728.6641967872622</v>
      </c>
      <c r="T21" s="20">
        <f t="shared" ref="T21:T39" si="22">R21*(EXP(D21*0.000000000155125*1000000)+0.0072*EXP(D21*0.00000000098485*1000000))</f>
        <v>650.74398147692057</v>
      </c>
      <c r="U21" s="21">
        <v>2.105718922983758E-2</v>
      </c>
      <c r="V21" s="19">
        <v>74.347169486868637</v>
      </c>
      <c r="W21" s="21">
        <v>0.11741966133135177</v>
      </c>
      <c r="X21" s="22">
        <v>1.0613810388083229</v>
      </c>
      <c r="Y21" s="22">
        <v>3.629444239866495</v>
      </c>
      <c r="Z21" s="21">
        <v>2.1434167351362841</v>
      </c>
      <c r="AA21" s="19">
        <v>33.282465645657624</v>
      </c>
      <c r="AB21" s="19">
        <v>28.656638709551004</v>
      </c>
      <c r="AC21" s="22">
        <v>9.1610829654462531</v>
      </c>
      <c r="AD21" s="18">
        <v>92.559215623785391</v>
      </c>
      <c r="AE21" s="18">
        <v>142.62702152808703</v>
      </c>
      <c r="AF21" s="18">
        <v>30.739310510787906</v>
      </c>
      <c r="AG21" s="18">
        <v>269.54712317746845</v>
      </c>
      <c r="AH21" s="18">
        <v>51.088842666037152</v>
      </c>
      <c r="AI21" s="29">
        <f t="shared" ref="AI21:AI39" si="23">U21/0.237</f>
        <v>8.8848899703956041E-2</v>
      </c>
      <c r="AJ21" s="23">
        <f t="shared" ref="AJ21:AJ39" si="24">V21/0.613</f>
        <v>121.28412640598472</v>
      </c>
      <c r="AK21" s="23">
        <f t="shared" ref="AK21:AK39" si="25">W21/0.0928</f>
        <v>1.2652980746912907</v>
      </c>
      <c r="AL21" s="23">
        <f t="shared" ref="AL21:AL39" si="26">X21/0.457</f>
        <v>2.3224968026440327</v>
      </c>
      <c r="AM21" s="23">
        <f t="shared" ref="AM21:AM39" si="27">Y21/0.148</f>
        <v>24.523271890989832</v>
      </c>
      <c r="AN21" s="23">
        <f t="shared" ref="AN21:AN39" si="28">Z21/0.0563</f>
        <v>38.071345206683553</v>
      </c>
      <c r="AO21" s="23">
        <f t="shared" ref="AO21:AO39" si="29">AA21/0.199</f>
        <v>167.24857108370665</v>
      </c>
      <c r="AP21" s="23">
        <f t="shared" ref="AP21:AP39" si="30">AB21/0.0361</f>
        <v>793.81270663576186</v>
      </c>
      <c r="AQ21" s="23">
        <f t="shared" ref="AQ21:AQ39" si="31">AC21/0.246</f>
        <v>37.240174656285582</v>
      </c>
      <c r="AR21" s="23">
        <f t="shared" ref="AR21:AR39" si="32">AD21/0.0546</f>
        <v>1695.2237293733588</v>
      </c>
      <c r="AS21" s="23">
        <f t="shared" ref="AS21:AS39" si="33">AE21/0.16</f>
        <v>891.41888455054391</v>
      </c>
      <c r="AT21" s="23">
        <f t="shared" ref="AT21:AT39" si="34">AF21/0.0247</f>
        <v>1244.5064984124658</v>
      </c>
      <c r="AU21" s="23">
        <f t="shared" ref="AU21:AU39" si="35">AG21/0.161</f>
        <v>1674.2057340215431</v>
      </c>
      <c r="AV21" s="24">
        <f t="shared" ref="AV21:AV39" si="36">AH21/0.0246</f>
        <v>2076.7822221966321</v>
      </c>
      <c r="AW21" s="23">
        <f t="shared" ref="AW21:AW39" si="37">AN21/10^(((0.5)*LOG(AO21))+((0.5)*LOG(AM21)))</f>
        <v>0.5944670775693297</v>
      </c>
      <c r="AX21" s="25">
        <f t="shared" ref="AX21:AX39" si="38">(AW21/AU21)*(10^4)</f>
        <v>3.5507409005306889</v>
      </c>
      <c r="AY21" s="26">
        <f t="shared" ref="AY21:AY39" si="39">V21/T21</f>
        <v>0.11424949227825544</v>
      </c>
      <c r="AZ21" s="23">
        <f t="shared" ref="AZ21:AZ39" si="40">T21/K21</f>
        <v>112.86691055585656</v>
      </c>
      <c r="BA21" s="25">
        <f t="shared" ref="BA21:BA39" si="41">AY21*(AZ21^0.5)</f>
        <v>1.2137733493150973</v>
      </c>
      <c r="BB21" s="27">
        <f t="shared" ref="BB21:BB39" si="42">((3.998*LOG(BA21))+2.284)</f>
        <v>2.6203821148211754</v>
      </c>
      <c r="BC21" s="28">
        <f t="shared" ref="BC21:BC39" si="43">((-587474)+(1584.427*H21)-(203.3164*H21*LN(H21))+(0.09271*(H21^2)))/(8.314511*H21*LN(10))</f>
        <v>-15.620429613119521</v>
      </c>
      <c r="BD21" s="27">
        <f t="shared" ref="BD21:BD39" si="44">((3.998*LOG(BA21))+2.284)+BC21</f>
        <v>-13.000047498298345</v>
      </c>
      <c r="BE21" s="24">
        <f t="shared" ref="BE21:BE39" si="45">1000*(AJ21/AL21)/M21</f>
        <v>58.691592779178535</v>
      </c>
      <c r="BG21" s="29">
        <f t="shared" ref="BG21:BG39" si="46">AQ21/AU21</f>
        <v>2.224348770257311E-2</v>
      </c>
      <c r="BJ21"/>
    </row>
    <row r="22" spans="1:62" s="6" customFormat="1" ht="16" customHeight="1">
      <c r="A22" s="6">
        <v>2.1</v>
      </c>
      <c r="B22" s="6" t="s">
        <v>157</v>
      </c>
      <c r="C22" s="6" t="s">
        <v>163</v>
      </c>
      <c r="D22" s="6">
        <v>42.6</v>
      </c>
      <c r="E22" s="6">
        <v>500</v>
      </c>
      <c r="F22" s="6">
        <v>0.75</v>
      </c>
      <c r="G22" s="6">
        <v>0.9</v>
      </c>
      <c r="H22" s="16">
        <f t="shared" ref="H22:H39" si="47">((-4800+(0.4748*(E22-1000)))/(LOG(K22)-5.711-LOG(F22)+LOG(G22)))</f>
        <v>1034.1997725164892</v>
      </c>
      <c r="I22" s="17">
        <f t="shared" si="20"/>
        <v>761.19977251648925</v>
      </c>
      <c r="J22" s="18">
        <v>148.87393298534485</v>
      </c>
      <c r="K22" s="19">
        <v>5.767660104858936</v>
      </c>
      <c r="M22" s="9">
        <v>939.19015458347928</v>
      </c>
      <c r="O22" s="18">
        <v>11385.458868422447</v>
      </c>
      <c r="Q22" s="9">
        <v>135.48197961352867</v>
      </c>
      <c r="R22" s="9">
        <v>230.86901333840444</v>
      </c>
      <c r="S22" s="20">
        <f t="shared" si="21"/>
        <v>135.76797189392576</v>
      </c>
      <c r="T22" s="20">
        <f t="shared" si="22"/>
        <v>234.13320280849084</v>
      </c>
      <c r="U22" s="21">
        <v>5.2556367655008651E-3</v>
      </c>
      <c r="V22" s="19">
        <v>51.044150261617943</v>
      </c>
      <c r="W22" s="21">
        <v>3.5167946624781656E-2</v>
      </c>
      <c r="X22" s="22">
        <v>0.64732560721330235</v>
      </c>
      <c r="Y22" s="22">
        <v>2.0247627797792509</v>
      </c>
      <c r="Z22" s="21">
        <v>1.3390888506297258</v>
      </c>
      <c r="AA22" s="19">
        <v>33.605228402049967</v>
      </c>
      <c r="AB22" s="19">
        <v>19.889642819824505</v>
      </c>
      <c r="AC22" s="22">
        <v>7.5132103234965255</v>
      </c>
      <c r="AD22" s="18">
        <v>86.755971832559695</v>
      </c>
      <c r="AE22" s="18">
        <v>161.46318582846592</v>
      </c>
      <c r="AF22" s="18">
        <v>36.171764887933243</v>
      </c>
      <c r="AG22" s="18">
        <v>332.58337535865559</v>
      </c>
      <c r="AH22" s="18">
        <v>66.600988664740981</v>
      </c>
      <c r="AI22" s="29">
        <f t="shared" si="23"/>
        <v>2.2175682554855972E-2</v>
      </c>
      <c r="AJ22" s="23">
        <f t="shared" si="24"/>
        <v>83.269413151089637</v>
      </c>
      <c r="AK22" s="23">
        <f t="shared" si="25"/>
        <v>0.37896494207738857</v>
      </c>
      <c r="AL22" s="23">
        <f t="shared" si="26"/>
        <v>1.4164674118453005</v>
      </c>
      <c r="AM22" s="23">
        <f t="shared" si="27"/>
        <v>13.680829593103047</v>
      </c>
      <c r="AN22" s="23">
        <f t="shared" si="28"/>
        <v>23.784881893956051</v>
      </c>
      <c r="AO22" s="23">
        <f t="shared" si="29"/>
        <v>168.87049448266313</v>
      </c>
      <c r="AP22" s="23">
        <f t="shared" si="30"/>
        <v>550.95963489818575</v>
      </c>
      <c r="AQ22" s="23">
        <f t="shared" si="31"/>
        <v>30.541505380067179</v>
      </c>
      <c r="AR22" s="23">
        <f t="shared" si="32"/>
        <v>1588.9372130505437</v>
      </c>
      <c r="AS22" s="23">
        <f t="shared" si="33"/>
        <v>1009.144911427912</v>
      </c>
      <c r="AT22" s="23">
        <f t="shared" si="34"/>
        <v>1464.4439225883905</v>
      </c>
      <c r="AU22" s="23">
        <f t="shared" si="35"/>
        <v>2065.7352506748794</v>
      </c>
      <c r="AV22" s="24">
        <f t="shared" si="36"/>
        <v>2707.357262794349</v>
      </c>
      <c r="AW22" s="23">
        <f t="shared" si="37"/>
        <v>0.49484352850150298</v>
      </c>
      <c r="AX22" s="25">
        <f t="shared" si="38"/>
        <v>2.3954837791524191</v>
      </c>
      <c r="AY22" s="26">
        <f t="shared" si="39"/>
        <v>0.21801329179001361</v>
      </c>
      <c r="AZ22" s="23">
        <f t="shared" si="40"/>
        <v>40.594140180217366</v>
      </c>
      <c r="BA22" s="25">
        <f t="shared" si="41"/>
        <v>1.3890396600125003</v>
      </c>
      <c r="BB22" s="27">
        <f t="shared" si="42"/>
        <v>2.8545731544611379</v>
      </c>
      <c r="BC22" s="28">
        <f t="shared" si="43"/>
        <v>-15.619658382610437</v>
      </c>
      <c r="BD22" s="27">
        <f t="shared" si="44"/>
        <v>-12.765085228149299</v>
      </c>
      <c r="BE22" s="24">
        <f t="shared" si="45"/>
        <v>62.592944963923166</v>
      </c>
      <c r="BG22" s="29">
        <f t="shared" si="46"/>
        <v>1.4784811059446856E-2</v>
      </c>
      <c r="BJ22"/>
    </row>
    <row r="23" spans="1:62" s="6" customFormat="1" ht="16" customHeight="1">
      <c r="A23" s="6">
        <v>4.0999999999999996</v>
      </c>
      <c r="B23" s="6" t="s">
        <v>157</v>
      </c>
      <c r="C23" s="6" t="s">
        <v>158</v>
      </c>
      <c r="D23" s="6">
        <v>42.6</v>
      </c>
      <c r="E23" s="6">
        <v>500</v>
      </c>
      <c r="F23" s="6">
        <v>0.75</v>
      </c>
      <c r="G23" s="6">
        <v>0.9</v>
      </c>
      <c r="H23" s="16">
        <f t="shared" si="47"/>
        <v>1009.1922261983956</v>
      </c>
      <c r="I23" s="17">
        <f t="shared" si="20"/>
        <v>736.19222619839559</v>
      </c>
      <c r="J23" s="18">
        <v>142.84592723585837</v>
      </c>
      <c r="K23" s="19">
        <v>4.3681938783404917</v>
      </c>
      <c r="M23" s="9">
        <v>642.89679976881496</v>
      </c>
      <c r="O23" s="18">
        <v>11708.735722324001</v>
      </c>
      <c r="Q23" s="9">
        <v>408.69036869151114</v>
      </c>
      <c r="R23" s="9">
        <v>439.39361741665596</v>
      </c>
      <c r="S23" s="20">
        <f t="shared" si="21"/>
        <v>409.55308335549694</v>
      </c>
      <c r="T23" s="20">
        <f t="shared" si="22"/>
        <v>445.60607528813438</v>
      </c>
      <c r="U23" s="21">
        <v>5.0540040339792317E-3</v>
      </c>
      <c r="V23" s="19">
        <v>52.816004559325741</v>
      </c>
      <c r="W23" s="21">
        <v>7.8910362611428753E-2</v>
      </c>
      <c r="X23" s="22">
        <v>0.60663129074375954</v>
      </c>
      <c r="Y23" s="22">
        <v>2.1382791627548516</v>
      </c>
      <c r="Z23" s="21">
        <v>1.255840524058303</v>
      </c>
      <c r="AA23" s="19">
        <v>23.844181069387059</v>
      </c>
      <c r="AB23" s="19">
        <v>17.824604688827151</v>
      </c>
      <c r="AC23" s="22">
        <v>5.7833252002165665</v>
      </c>
      <c r="AD23" s="18">
        <v>61.454624648402273</v>
      </c>
      <c r="AE23" s="18">
        <v>99.624127571317288</v>
      </c>
      <c r="AF23" s="18">
        <v>21.901854030414704</v>
      </c>
      <c r="AG23" s="18">
        <v>198.91155063654716</v>
      </c>
      <c r="AH23" s="18">
        <v>39.582001681287935</v>
      </c>
      <c r="AI23" s="29">
        <f t="shared" si="23"/>
        <v>2.1324911535777352E-2</v>
      </c>
      <c r="AJ23" s="23">
        <f t="shared" si="24"/>
        <v>86.159876932015891</v>
      </c>
      <c r="AK23" s="23">
        <f t="shared" si="25"/>
        <v>0.85032718331280988</v>
      </c>
      <c r="AL23" s="23">
        <f t="shared" si="26"/>
        <v>1.327420767491815</v>
      </c>
      <c r="AM23" s="23">
        <f t="shared" si="27"/>
        <v>14.447832180776025</v>
      </c>
      <c r="AN23" s="23">
        <f t="shared" si="28"/>
        <v>22.306226004587973</v>
      </c>
      <c r="AO23" s="23">
        <f t="shared" si="29"/>
        <v>119.82000537380431</v>
      </c>
      <c r="AP23" s="23">
        <f t="shared" si="30"/>
        <v>493.75636257138922</v>
      </c>
      <c r="AQ23" s="23">
        <f t="shared" si="31"/>
        <v>23.509452033400677</v>
      </c>
      <c r="AR23" s="23">
        <f t="shared" si="32"/>
        <v>1125.5425759780635</v>
      </c>
      <c r="AS23" s="23">
        <f t="shared" si="33"/>
        <v>622.65079732073309</v>
      </c>
      <c r="AT23" s="23">
        <f t="shared" si="34"/>
        <v>886.71473807346979</v>
      </c>
      <c r="AU23" s="23">
        <f t="shared" si="35"/>
        <v>1235.4754697922183</v>
      </c>
      <c r="AV23" s="24">
        <f t="shared" si="36"/>
        <v>1609.0244585889404</v>
      </c>
      <c r="AW23" s="23">
        <f t="shared" si="37"/>
        <v>0.53611762689316733</v>
      </c>
      <c r="AX23" s="25">
        <f t="shared" si="38"/>
        <v>4.3393627797671392</v>
      </c>
      <c r="AY23" s="26">
        <f t="shared" si="39"/>
        <v>0.11852622189940804</v>
      </c>
      <c r="AZ23" s="23">
        <f t="shared" si="40"/>
        <v>102.01151498738498</v>
      </c>
      <c r="BA23" s="25">
        <f t="shared" si="41"/>
        <v>1.1971237305436386</v>
      </c>
      <c r="BB23" s="27">
        <f t="shared" si="42"/>
        <v>2.5963998814916969</v>
      </c>
      <c r="BC23" s="28">
        <f t="shared" si="43"/>
        <v>-16.216047721053901</v>
      </c>
      <c r="BD23" s="27">
        <f t="shared" si="44"/>
        <v>-13.619647839562203</v>
      </c>
      <c r="BE23" s="24">
        <f t="shared" si="45"/>
        <v>100.96136140364386</v>
      </c>
      <c r="BG23" s="29">
        <f t="shared" si="46"/>
        <v>1.9028667592529771E-2</v>
      </c>
      <c r="BJ23"/>
    </row>
    <row r="24" spans="1:62" s="6" customFormat="1" ht="16" customHeight="1">
      <c r="A24" s="6">
        <v>5.0999999999999996</v>
      </c>
      <c r="B24" s="6" t="s">
        <v>157</v>
      </c>
      <c r="C24" s="6" t="s">
        <v>158</v>
      </c>
      <c r="D24" s="6">
        <v>42.6</v>
      </c>
      <c r="E24" s="6">
        <v>500</v>
      </c>
      <c r="F24" s="6">
        <v>0.75</v>
      </c>
      <c r="G24" s="6">
        <v>0.9</v>
      </c>
      <c r="H24" s="16">
        <f t="shared" si="47"/>
        <v>990.26679221458267</v>
      </c>
      <c r="I24" s="17">
        <f t="shared" si="20"/>
        <v>717.26679221458267</v>
      </c>
      <c r="J24" s="18">
        <v>101.20280828048158</v>
      </c>
      <c r="K24" s="19">
        <v>3.5067659642179771</v>
      </c>
      <c r="M24" s="9">
        <v>340.12536463870947</v>
      </c>
      <c r="O24" s="18">
        <v>11822.196537157733</v>
      </c>
      <c r="Q24" s="9">
        <v>108.7478480471926</v>
      </c>
      <c r="R24" s="9">
        <v>190.81382883278258</v>
      </c>
      <c r="S24" s="20">
        <f t="shared" si="21"/>
        <v>108.97740658435018</v>
      </c>
      <c r="T24" s="20">
        <f t="shared" si="22"/>
        <v>193.51168976187083</v>
      </c>
      <c r="U24" s="21">
        <v>5.442085881644688E-3</v>
      </c>
      <c r="V24" s="19">
        <v>27.941258215599802</v>
      </c>
      <c r="W24" s="21">
        <v>4.2484826624189037E-2</v>
      </c>
      <c r="X24" s="22">
        <v>0.37570403226243942</v>
      </c>
      <c r="Y24" s="22">
        <v>1.0209863264151811</v>
      </c>
      <c r="Z24" s="21">
        <v>0.64524690085177983</v>
      </c>
      <c r="AA24" s="19">
        <v>12.262401659603704</v>
      </c>
      <c r="AB24" s="19">
        <v>8.6620209801351749</v>
      </c>
      <c r="AC24" s="22">
        <v>3.0415028704595377</v>
      </c>
      <c r="AD24" s="18">
        <v>32.96626040435055</v>
      </c>
      <c r="AE24" s="18">
        <v>55.671840214642629</v>
      </c>
      <c r="AF24" s="18">
        <v>12.87931232667853</v>
      </c>
      <c r="AG24" s="18">
        <v>116.19581842833715</v>
      </c>
      <c r="AH24" s="18">
        <v>23.392650527252005</v>
      </c>
      <c r="AI24" s="29">
        <f t="shared" si="23"/>
        <v>2.2962387686264508E-2</v>
      </c>
      <c r="AJ24" s="23">
        <f t="shared" si="24"/>
        <v>45.581171640456446</v>
      </c>
      <c r="AK24" s="23">
        <f t="shared" si="25"/>
        <v>0.45781063172617498</v>
      </c>
      <c r="AL24" s="23">
        <f t="shared" si="26"/>
        <v>0.82210947978651949</v>
      </c>
      <c r="AM24" s="23">
        <f t="shared" si="27"/>
        <v>6.8985562595620342</v>
      </c>
      <c r="AN24" s="23">
        <f t="shared" si="28"/>
        <v>11.460868576408167</v>
      </c>
      <c r="AO24" s="23">
        <f t="shared" si="29"/>
        <v>61.620108842229662</v>
      </c>
      <c r="AP24" s="23">
        <f t="shared" si="30"/>
        <v>239.94517950512949</v>
      </c>
      <c r="AQ24" s="23">
        <f t="shared" si="31"/>
        <v>12.363832806746089</v>
      </c>
      <c r="AR24" s="23">
        <f t="shared" si="32"/>
        <v>603.77766308334333</v>
      </c>
      <c r="AS24" s="23">
        <f t="shared" si="33"/>
        <v>347.94900134151641</v>
      </c>
      <c r="AT24" s="23">
        <f t="shared" si="34"/>
        <v>521.42964885338176</v>
      </c>
      <c r="AU24" s="23">
        <f t="shared" si="35"/>
        <v>721.71315793998224</v>
      </c>
      <c r="AV24" s="24">
        <f t="shared" si="36"/>
        <v>950.92075314032536</v>
      </c>
      <c r="AW24" s="23">
        <f t="shared" si="37"/>
        <v>0.55587506939235232</v>
      </c>
      <c r="AX24" s="25">
        <f t="shared" si="38"/>
        <v>7.70216066143246</v>
      </c>
      <c r="AY24" s="26">
        <f t="shared" si="39"/>
        <v>0.14439054431276685</v>
      </c>
      <c r="AZ24" s="23">
        <f t="shared" si="40"/>
        <v>55.182379359332209</v>
      </c>
      <c r="BA24" s="25">
        <f t="shared" si="41"/>
        <v>1.072602895033314</v>
      </c>
      <c r="BB24" s="27">
        <f t="shared" si="42"/>
        <v>2.4056949813545998</v>
      </c>
      <c r="BC24" s="28">
        <f t="shared" si="43"/>
        <v>-16.687755524942816</v>
      </c>
      <c r="BD24" s="27">
        <f t="shared" si="44"/>
        <v>-14.282060543588216</v>
      </c>
      <c r="BE24" s="24">
        <f t="shared" si="45"/>
        <v>163.01096103249566</v>
      </c>
      <c r="BG24" s="29">
        <f t="shared" si="46"/>
        <v>1.7131228204341906E-2</v>
      </c>
      <c r="BJ24"/>
    </row>
    <row r="25" spans="1:62" s="6" customFormat="1" ht="16" customHeight="1">
      <c r="A25" s="6">
        <v>7.1</v>
      </c>
      <c r="B25" s="6" t="s">
        <v>157</v>
      </c>
      <c r="C25" s="6" t="s">
        <v>158</v>
      </c>
      <c r="D25" s="6">
        <v>42.6</v>
      </c>
      <c r="E25" s="6">
        <v>500</v>
      </c>
      <c r="F25" s="6">
        <v>0.75</v>
      </c>
      <c r="G25" s="6">
        <v>0.9</v>
      </c>
      <c r="H25" s="16">
        <f t="shared" si="47"/>
        <v>990.04503669667929</v>
      </c>
      <c r="I25" s="17">
        <f t="shared" si="20"/>
        <v>717.04503669667929</v>
      </c>
      <c r="J25" s="18">
        <v>85.414383142936884</v>
      </c>
      <c r="K25" s="19">
        <v>3.497577845336032</v>
      </c>
      <c r="M25" s="9">
        <v>269.98912981339043</v>
      </c>
      <c r="O25" s="18">
        <v>12315.675918911576</v>
      </c>
      <c r="Q25" s="9">
        <v>78.664885407379316</v>
      </c>
      <c r="R25" s="9">
        <v>143.70160725138467</v>
      </c>
      <c r="S25" s="20">
        <f t="shared" si="21"/>
        <v>78.830941070494134</v>
      </c>
      <c r="T25" s="20">
        <f t="shared" si="22"/>
        <v>145.73336225584214</v>
      </c>
      <c r="U25" s="21">
        <v>5.7413477018257875E-3</v>
      </c>
      <c r="V25" s="19">
        <v>21.61999011358245</v>
      </c>
      <c r="W25" s="21">
        <v>2.5612045192761699E-2</v>
      </c>
      <c r="X25" s="22">
        <v>0.26123997616215133</v>
      </c>
      <c r="Y25" s="22">
        <v>0.81117246422082234</v>
      </c>
      <c r="Z25" s="21">
        <v>0.50402928581940443</v>
      </c>
      <c r="AA25" s="19">
        <v>9.6036597925291183</v>
      </c>
      <c r="AB25" s="19">
        <v>6.4795993024533614</v>
      </c>
      <c r="AC25" s="22">
        <v>2.3930781354378219</v>
      </c>
      <c r="AD25" s="18">
        <v>25.031899798131398</v>
      </c>
      <c r="AE25" s="18">
        <v>45.97957718806849</v>
      </c>
      <c r="AF25" s="18">
        <v>10.270759253046135</v>
      </c>
      <c r="AG25" s="18">
        <v>96.28660171756249</v>
      </c>
      <c r="AH25" s="18">
        <v>20.645315272315958</v>
      </c>
      <c r="AI25" s="29">
        <f t="shared" si="23"/>
        <v>2.4225095788294463E-2</v>
      </c>
      <c r="AJ25" s="23">
        <f t="shared" si="24"/>
        <v>35.269151898176915</v>
      </c>
      <c r="AK25" s="23">
        <f t="shared" si="25"/>
        <v>0.27599186630131145</v>
      </c>
      <c r="AL25" s="23">
        <f t="shared" si="26"/>
        <v>0.57164108569398542</v>
      </c>
      <c r="AM25" s="23">
        <f t="shared" si="27"/>
        <v>5.4808950285190701</v>
      </c>
      <c r="AN25" s="23">
        <f t="shared" si="28"/>
        <v>8.9525628031865789</v>
      </c>
      <c r="AO25" s="23">
        <f t="shared" si="29"/>
        <v>48.259596947382498</v>
      </c>
      <c r="AP25" s="23">
        <f t="shared" si="30"/>
        <v>179.4902853865197</v>
      </c>
      <c r="AQ25" s="23">
        <f t="shared" si="31"/>
        <v>9.7279599001537473</v>
      </c>
      <c r="AR25" s="23">
        <f t="shared" si="32"/>
        <v>458.45970326247982</v>
      </c>
      <c r="AS25" s="23">
        <f t="shared" si="33"/>
        <v>287.37235742542805</v>
      </c>
      <c r="AT25" s="23">
        <f t="shared" si="34"/>
        <v>415.82021267393259</v>
      </c>
      <c r="AU25" s="23">
        <f t="shared" si="35"/>
        <v>598.05342681715831</v>
      </c>
      <c r="AV25" s="24">
        <f t="shared" si="36"/>
        <v>839.2404582242259</v>
      </c>
      <c r="AW25" s="23">
        <f t="shared" si="37"/>
        <v>0.55046509919072306</v>
      </c>
      <c r="AX25" s="25">
        <f t="shared" si="38"/>
        <v>9.204279659767181</v>
      </c>
      <c r="AY25" s="26">
        <f t="shared" si="39"/>
        <v>0.14835305916861705</v>
      </c>
      <c r="AZ25" s="23">
        <f t="shared" si="40"/>
        <v>41.666938864613236</v>
      </c>
      <c r="BA25" s="25">
        <f t="shared" si="41"/>
        <v>0.95761800712283174</v>
      </c>
      <c r="BB25" s="27">
        <f t="shared" si="42"/>
        <v>2.2088068313202593</v>
      </c>
      <c r="BC25" s="28">
        <f t="shared" si="43"/>
        <v>-16.693391658541501</v>
      </c>
      <c r="BD25" s="27">
        <f t="shared" si="44"/>
        <v>-14.484584827221241</v>
      </c>
      <c r="BE25" s="24">
        <f t="shared" si="45"/>
        <v>228.52057175152447</v>
      </c>
      <c r="BG25" s="29">
        <f t="shared" si="46"/>
        <v>1.6266038223250342E-2</v>
      </c>
      <c r="BJ25"/>
    </row>
    <row r="26" spans="1:62" s="6" customFormat="1" ht="16" customHeight="1">
      <c r="A26" s="6">
        <v>7.2</v>
      </c>
      <c r="B26" s="6" t="s">
        <v>157</v>
      </c>
      <c r="C26" s="6" t="s">
        <v>159</v>
      </c>
      <c r="D26" s="6">
        <v>42.6</v>
      </c>
      <c r="E26" s="6">
        <v>500</v>
      </c>
      <c r="F26" s="6">
        <v>0.75</v>
      </c>
      <c r="G26" s="6">
        <v>0.9</v>
      </c>
      <c r="H26" s="16">
        <f t="shared" si="47"/>
        <v>1030.4796313663876</v>
      </c>
      <c r="I26" s="17">
        <f t="shared" si="20"/>
        <v>757.47963136638759</v>
      </c>
      <c r="J26" s="18">
        <v>352.68444998263158</v>
      </c>
      <c r="K26" s="19">
        <v>5.5387974501946786</v>
      </c>
      <c r="M26" s="9">
        <v>885.46196325194148</v>
      </c>
      <c r="O26" s="18">
        <v>11388.626662834609</v>
      </c>
      <c r="Q26" s="9">
        <v>144.80520886465911</v>
      </c>
      <c r="R26" s="9">
        <v>279.47712017477448</v>
      </c>
      <c r="S26" s="20">
        <f t="shared" si="21"/>
        <v>145.11088178156447</v>
      </c>
      <c r="T26" s="20">
        <f t="shared" si="22"/>
        <v>283.42856545369284</v>
      </c>
      <c r="U26" s="21">
        <v>7.0114103327314881E-2</v>
      </c>
      <c r="V26" s="19">
        <v>27.251109216767453</v>
      </c>
      <c r="W26" s="21">
        <v>4.3788879316563979E-2</v>
      </c>
      <c r="X26" s="22">
        <v>0.66446194255558788</v>
      </c>
      <c r="Y26" s="22">
        <v>1.6802556252328325</v>
      </c>
      <c r="Z26" s="21">
        <v>0.96361857160279574</v>
      </c>
      <c r="AA26" s="19">
        <v>32.127032854228936</v>
      </c>
      <c r="AB26" s="19">
        <v>16.668849701796415</v>
      </c>
      <c r="AC26" s="22">
        <v>6.1828998124349948</v>
      </c>
      <c r="AD26" s="18">
        <v>78.307065231593086</v>
      </c>
      <c r="AE26" s="18">
        <v>155.49692373532588</v>
      </c>
      <c r="AF26" s="18">
        <v>35.411950011431969</v>
      </c>
      <c r="AG26" s="18">
        <v>319.59848951820106</v>
      </c>
      <c r="AH26" s="18">
        <v>61.916368727431134</v>
      </c>
      <c r="AI26" s="29">
        <f t="shared" si="23"/>
        <v>0.29584009842748898</v>
      </c>
      <c r="AJ26" s="23">
        <f t="shared" si="24"/>
        <v>44.455316829963223</v>
      </c>
      <c r="AK26" s="23">
        <f t="shared" si="25"/>
        <v>0.47186292366987048</v>
      </c>
      <c r="AL26" s="23">
        <f t="shared" si="26"/>
        <v>1.4539648633601485</v>
      </c>
      <c r="AM26" s="23">
        <f t="shared" si="27"/>
        <v>11.35307854887049</v>
      </c>
      <c r="AN26" s="23">
        <f t="shared" si="28"/>
        <v>17.115782799339179</v>
      </c>
      <c r="AO26" s="23">
        <f t="shared" si="29"/>
        <v>161.4423761519042</v>
      </c>
      <c r="AP26" s="23">
        <f t="shared" si="30"/>
        <v>461.74098896942974</v>
      </c>
      <c r="AQ26" s="23">
        <f t="shared" si="31"/>
        <v>25.133739074939005</v>
      </c>
      <c r="AR26" s="23">
        <f t="shared" si="32"/>
        <v>1434.1953339119611</v>
      </c>
      <c r="AS26" s="23">
        <f t="shared" si="33"/>
        <v>971.8557733457867</v>
      </c>
      <c r="AT26" s="23">
        <f t="shared" si="34"/>
        <v>1433.6821866976506</v>
      </c>
      <c r="AU26" s="23">
        <f t="shared" si="35"/>
        <v>1985.0837858273358</v>
      </c>
      <c r="AV26" s="24">
        <f t="shared" si="36"/>
        <v>2516.9255580256558</v>
      </c>
      <c r="AW26" s="23">
        <f t="shared" si="37"/>
        <v>0.39978930769705001</v>
      </c>
      <c r="AX26" s="25">
        <f t="shared" si="38"/>
        <v>2.0139669194387548</v>
      </c>
      <c r="AY26" s="26">
        <f t="shared" si="39"/>
        <v>9.6148068819900928E-2</v>
      </c>
      <c r="AZ26" s="23">
        <f t="shared" si="40"/>
        <v>51.171498507086739</v>
      </c>
      <c r="BA26" s="25">
        <f t="shared" si="41"/>
        <v>0.68778806153973404</v>
      </c>
      <c r="BB26" s="27">
        <f t="shared" si="42"/>
        <v>1.634143623421374</v>
      </c>
      <c r="BC26" s="28">
        <f t="shared" si="43"/>
        <v>-15.70651883647006</v>
      </c>
      <c r="BD26" s="27">
        <f t="shared" si="44"/>
        <v>-14.072375213048687</v>
      </c>
      <c r="BE26" s="24">
        <f t="shared" si="45"/>
        <v>34.53026317484067</v>
      </c>
      <c r="BG26" s="29">
        <f t="shared" si="46"/>
        <v>1.2661298860221087E-2</v>
      </c>
      <c r="BJ26"/>
    </row>
    <row r="27" spans="1:62" s="6" customFormat="1" ht="16" customHeight="1">
      <c r="A27" s="6">
        <v>7.3</v>
      </c>
      <c r="B27" s="6" t="s">
        <v>157</v>
      </c>
      <c r="C27" s="6" t="s">
        <v>164</v>
      </c>
      <c r="D27" s="6">
        <v>42.6</v>
      </c>
      <c r="E27" s="6">
        <v>500</v>
      </c>
      <c r="F27" s="6">
        <v>0.75</v>
      </c>
      <c r="G27" s="6">
        <v>0.9</v>
      </c>
      <c r="H27" s="16">
        <f t="shared" si="47"/>
        <v>977.93433375117695</v>
      </c>
      <c r="I27" s="17">
        <f t="shared" si="20"/>
        <v>704.93433375117695</v>
      </c>
      <c r="J27" s="18">
        <v>200.52241108104914</v>
      </c>
      <c r="K27" s="19">
        <v>3.0252212874866578</v>
      </c>
      <c r="M27" s="9">
        <v>517.574648994173</v>
      </c>
      <c r="O27" s="18">
        <v>11836.103733848628</v>
      </c>
      <c r="Q27" s="9">
        <v>58.593531152891757</v>
      </c>
      <c r="R27" s="9">
        <v>157.13134884936548</v>
      </c>
      <c r="S27" s="20">
        <f t="shared" si="21"/>
        <v>58.717217695107443</v>
      </c>
      <c r="T27" s="20">
        <f t="shared" si="22"/>
        <v>159.35298304322225</v>
      </c>
      <c r="U27" s="21">
        <v>2.381943127695171E-2</v>
      </c>
      <c r="V27" s="19">
        <v>21.797075964220578</v>
      </c>
      <c r="W27" s="21">
        <v>7.3052402090070301E-2</v>
      </c>
      <c r="X27" s="22">
        <v>0.32701466530428852</v>
      </c>
      <c r="Y27" s="22">
        <v>1.2229291422171191</v>
      </c>
      <c r="Z27" s="21">
        <v>0.67750205470514868</v>
      </c>
      <c r="AA27" s="19">
        <v>18.115967890878668</v>
      </c>
      <c r="AB27" s="19">
        <v>10.829603898427939</v>
      </c>
      <c r="AC27" s="22">
        <v>3.9239126943345601</v>
      </c>
      <c r="AD27" s="18">
        <v>44.350657499704973</v>
      </c>
      <c r="AE27" s="18">
        <v>90.419726124885358</v>
      </c>
      <c r="AF27" s="18">
        <v>21.593416252791588</v>
      </c>
      <c r="AG27" s="18">
        <v>209.0302157633389</v>
      </c>
      <c r="AH27" s="18">
        <v>44.517439702644467</v>
      </c>
      <c r="AI27" s="29">
        <f t="shared" si="23"/>
        <v>0.10050392943861482</v>
      </c>
      <c r="AJ27" s="23">
        <f t="shared" si="24"/>
        <v>35.558035830702416</v>
      </c>
      <c r="AK27" s="23">
        <f t="shared" si="25"/>
        <v>0.78720260872920589</v>
      </c>
      <c r="AL27" s="23">
        <f t="shared" si="26"/>
        <v>0.71556819541419803</v>
      </c>
      <c r="AM27" s="23">
        <f t="shared" si="27"/>
        <v>8.2630347447102643</v>
      </c>
      <c r="AN27" s="23">
        <f t="shared" si="28"/>
        <v>12.033784275402285</v>
      </c>
      <c r="AO27" s="23">
        <f t="shared" si="29"/>
        <v>91.03501452702848</v>
      </c>
      <c r="AP27" s="23">
        <f t="shared" si="30"/>
        <v>299.9890276572836</v>
      </c>
      <c r="AQ27" s="23">
        <f t="shared" si="31"/>
        <v>15.950864611116099</v>
      </c>
      <c r="AR27" s="23">
        <f t="shared" si="32"/>
        <v>812.28310439020095</v>
      </c>
      <c r="AS27" s="23">
        <f t="shared" si="33"/>
        <v>565.12328828053353</v>
      </c>
      <c r="AT27" s="23">
        <f t="shared" si="34"/>
        <v>874.22737865552995</v>
      </c>
      <c r="AU27" s="23">
        <f t="shared" si="35"/>
        <v>1298.3243215114217</v>
      </c>
      <c r="AV27" s="24">
        <f t="shared" si="36"/>
        <v>1809.6520204327019</v>
      </c>
      <c r="AW27" s="23">
        <f t="shared" si="37"/>
        <v>0.43876118367491207</v>
      </c>
      <c r="AX27" s="25">
        <f t="shared" si="38"/>
        <v>3.37944207318042</v>
      </c>
      <c r="AY27" s="26">
        <f t="shared" si="39"/>
        <v>0.13678486306282969</v>
      </c>
      <c r="AZ27" s="23">
        <f t="shared" si="40"/>
        <v>52.674818765278523</v>
      </c>
      <c r="BA27" s="25">
        <f t="shared" si="41"/>
        <v>0.99274924398241349</v>
      </c>
      <c r="BB27" s="27">
        <f t="shared" si="42"/>
        <v>2.2713645808848768</v>
      </c>
      <c r="BC27" s="28">
        <f t="shared" si="43"/>
        <v>-17.005161514958356</v>
      </c>
      <c r="BD27" s="27">
        <f t="shared" si="44"/>
        <v>-14.73379693407348</v>
      </c>
      <c r="BE27" s="24">
        <f t="shared" si="45"/>
        <v>96.009396004165993</v>
      </c>
      <c r="BG27" s="29">
        <f t="shared" si="46"/>
        <v>1.2285731959905963E-2</v>
      </c>
      <c r="BJ27"/>
    </row>
    <row r="28" spans="1:62" s="6" customFormat="1" ht="16" customHeight="1">
      <c r="A28" s="6">
        <v>8.1</v>
      </c>
      <c r="B28" s="6" t="s">
        <v>157</v>
      </c>
      <c r="C28" s="6" t="s">
        <v>158</v>
      </c>
      <c r="D28" s="6">
        <v>42.6</v>
      </c>
      <c r="E28" s="6">
        <v>500</v>
      </c>
      <c r="F28" s="6">
        <v>0.75</v>
      </c>
      <c r="G28" s="6">
        <v>0.9</v>
      </c>
      <c r="H28" s="16">
        <f t="shared" si="47"/>
        <v>975.64442666353523</v>
      </c>
      <c r="I28" s="17">
        <f t="shared" si="20"/>
        <v>702.64442666353523</v>
      </c>
      <c r="J28" s="18">
        <v>84.991141986060398</v>
      </c>
      <c r="K28" s="19">
        <v>2.942166448158047</v>
      </c>
      <c r="M28" s="9">
        <v>305.84494906374749</v>
      </c>
      <c r="O28" s="18">
        <v>12102.865544997487</v>
      </c>
      <c r="Q28" s="9">
        <v>61.228630528851575</v>
      </c>
      <c r="R28" s="9">
        <v>142.95396197382874</v>
      </c>
      <c r="S28" s="20">
        <f t="shared" si="21"/>
        <v>61.357879567878669</v>
      </c>
      <c r="T28" s="20">
        <f t="shared" si="22"/>
        <v>144.97514624032937</v>
      </c>
      <c r="U28" s="21">
        <v>1.0876479755883978E-2</v>
      </c>
      <c r="V28" s="19">
        <v>21.081253606628774</v>
      </c>
      <c r="W28" s="21">
        <v>6.0649717085866313E-2</v>
      </c>
      <c r="X28" s="22">
        <v>0.24744811320621438</v>
      </c>
      <c r="Y28" s="22">
        <v>0.80613513486812916</v>
      </c>
      <c r="Z28" s="21">
        <v>0.5089732385441893</v>
      </c>
      <c r="AA28" s="19">
        <v>11.17468967108808</v>
      </c>
      <c r="AB28" s="19">
        <v>6.9213839133042816</v>
      </c>
      <c r="AC28" s="22">
        <v>2.6515427242209393</v>
      </c>
      <c r="AD28" s="18">
        <v>28.23300211187135</v>
      </c>
      <c r="AE28" s="18">
        <v>52.508425035554723</v>
      </c>
      <c r="AF28" s="18">
        <v>12.326846402381024</v>
      </c>
      <c r="AG28" s="18">
        <v>117.71701528768206</v>
      </c>
      <c r="AH28" s="18">
        <v>24.529268180755054</v>
      </c>
      <c r="AI28" s="29">
        <f t="shared" si="23"/>
        <v>4.589231964508008E-2</v>
      </c>
      <c r="AJ28" s="23">
        <f t="shared" si="24"/>
        <v>34.390299521417248</v>
      </c>
      <c r="AK28" s="23">
        <f t="shared" si="25"/>
        <v>0.65355298583907673</v>
      </c>
      <c r="AL28" s="23">
        <f t="shared" si="26"/>
        <v>0.54146195449937495</v>
      </c>
      <c r="AM28" s="23">
        <f t="shared" si="27"/>
        <v>5.446859019379251</v>
      </c>
      <c r="AN28" s="23">
        <f t="shared" si="28"/>
        <v>9.0403772387955463</v>
      </c>
      <c r="AO28" s="23">
        <f t="shared" si="29"/>
        <v>56.15421945270392</v>
      </c>
      <c r="AP28" s="23">
        <f t="shared" si="30"/>
        <v>191.72808624111585</v>
      </c>
      <c r="AQ28" s="23">
        <f t="shared" si="31"/>
        <v>10.778628960247721</v>
      </c>
      <c r="AR28" s="23">
        <f t="shared" si="32"/>
        <v>517.08795076687454</v>
      </c>
      <c r="AS28" s="23">
        <f t="shared" si="33"/>
        <v>328.177656472217</v>
      </c>
      <c r="AT28" s="23">
        <f t="shared" si="34"/>
        <v>499.06260738384714</v>
      </c>
      <c r="AU28" s="23">
        <f t="shared" si="35"/>
        <v>731.16158563777674</v>
      </c>
      <c r="AV28" s="24">
        <f t="shared" si="36"/>
        <v>997.1247227949209</v>
      </c>
      <c r="AW28" s="23">
        <f t="shared" si="37"/>
        <v>0.51691875354333616</v>
      </c>
      <c r="AX28" s="25">
        <f t="shared" si="38"/>
        <v>7.0698292100841007</v>
      </c>
      <c r="AY28" s="26">
        <f t="shared" si="39"/>
        <v>0.14541288043732536</v>
      </c>
      <c r="AZ28" s="23">
        <f t="shared" si="40"/>
        <v>49.274964144564812</v>
      </c>
      <c r="BA28" s="25">
        <f t="shared" si="41"/>
        <v>1.0207421197302049</v>
      </c>
      <c r="BB28" s="27">
        <f t="shared" si="42"/>
        <v>2.31964631110738</v>
      </c>
      <c r="BC28" s="28">
        <f t="shared" si="43"/>
        <v>-17.065000697503258</v>
      </c>
      <c r="BD28" s="27">
        <f t="shared" si="44"/>
        <v>-14.745354386395878</v>
      </c>
      <c r="BE28" s="24">
        <f t="shared" si="45"/>
        <v>207.66662226017772</v>
      </c>
      <c r="BG28" s="29">
        <f t="shared" si="46"/>
        <v>1.4741787823611865E-2</v>
      </c>
      <c r="BJ28"/>
    </row>
    <row r="29" spans="1:62" s="6" customFormat="1" ht="16" customHeight="1">
      <c r="A29" s="6">
        <v>8.1999999999999993</v>
      </c>
      <c r="B29" s="6" t="s">
        <v>157</v>
      </c>
      <c r="C29" s="6" t="s">
        <v>159</v>
      </c>
      <c r="D29" s="6">
        <v>42.6</v>
      </c>
      <c r="E29" s="6">
        <v>500</v>
      </c>
      <c r="F29" s="6">
        <v>0.75</v>
      </c>
      <c r="G29" s="6">
        <v>0.9</v>
      </c>
      <c r="H29" s="16">
        <f t="shared" si="47"/>
        <v>1056.0976138854535</v>
      </c>
      <c r="I29" s="17">
        <f t="shared" si="20"/>
        <v>783.09761388545348</v>
      </c>
      <c r="J29" s="18">
        <v>152.89103807535901</v>
      </c>
      <c r="K29" s="19">
        <v>7.2777060886067888</v>
      </c>
      <c r="M29" s="9">
        <v>279.63562163582208</v>
      </c>
      <c r="O29" s="18">
        <v>10027.209176015491</v>
      </c>
      <c r="Q29" s="9">
        <v>17.541773343740385</v>
      </c>
      <c r="R29" s="9">
        <v>41.543109859452812</v>
      </c>
      <c r="S29" s="20">
        <f t="shared" si="21"/>
        <v>17.578802709380717</v>
      </c>
      <c r="T29" s="20">
        <f t="shared" si="22"/>
        <v>42.130475741937445</v>
      </c>
      <c r="U29" s="21">
        <v>1.2846206016245006E-2</v>
      </c>
      <c r="V29" s="19">
        <v>9.5439280302162324</v>
      </c>
      <c r="W29" s="21">
        <v>5.7306685839452733E-2</v>
      </c>
      <c r="X29" s="22">
        <v>0.33458830682754831</v>
      </c>
      <c r="Y29" s="22">
        <v>0.95609308599180254</v>
      </c>
      <c r="Z29" s="21">
        <v>0.61962003046042702</v>
      </c>
      <c r="AA29" s="19">
        <v>10.253169262684052</v>
      </c>
      <c r="AB29" s="19">
        <v>7.8793675685508102</v>
      </c>
      <c r="AC29" s="22">
        <v>2.2639398252360379</v>
      </c>
      <c r="AD29" s="18">
        <v>26.158426093947647</v>
      </c>
      <c r="AE29" s="18">
        <v>47.491941013779311</v>
      </c>
      <c r="AF29" s="18">
        <v>11.112125881993702</v>
      </c>
      <c r="AG29" s="18">
        <v>101.66038097969798</v>
      </c>
      <c r="AH29" s="18">
        <v>21.871409072339844</v>
      </c>
      <c r="AI29" s="29">
        <f t="shared" si="23"/>
        <v>5.4203400912426189E-2</v>
      </c>
      <c r="AJ29" s="23">
        <f t="shared" si="24"/>
        <v>15.569213752391896</v>
      </c>
      <c r="AK29" s="23">
        <f t="shared" si="25"/>
        <v>0.61752894223548205</v>
      </c>
      <c r="AL29" s="23">
        <f t="shared" si="26"/>
        <v>0.73214071515874901</v>
      </c>
      <c r="AM29" s="23">
        <f t="shared" si="27"/>
        <v>6.4600884188635312</v>
      </c>
      <c r="AN29" s="23">
        <f t="shared" si="28"/>
        <v>11.005684377627478</v>
      </c>
      <c r="AO29" s="23">
        <f t="shared" si="29"/>
        <v>51.523463631578146</v>
      </c>
      <c r="AP29" s="23">
        <f t="shared" si="30"/>
        <v>218.26502959974545</v>
      </c>
      <c r="AQ29" s="23">
        <f t="shared" si="31"/>
        <v>9.2030074196586913</v>
      </c>
      <c r="AR29" s="23">
        <f t="shared" si="32"/>
        <v>479.09205300270412</v>
      </c>
      <c r="AS29" s="23">
        <f t="shared" si="33"/>
        <v>296.82463133612066</v>
      </c>
      <c r="AT29" s="23">
        <f t="shared" si="34"/>
        <v>449.88363894711347</v>
      </c>
      <c r="AU29" s="23">
        <f t="shared" si="35"/>
        <v>631.43093776209923</v>
      </c>
      <c r="AV29" s="24">
        <f t="shared" si="36"/>
        <v>889.08166960731069</v>
      </c>
      <c r="AW29" s="23">
        <f t="shared" si="37"/>
        <v>0.60324717606172407</v>
      </c>
      <c r="AX29" s="25">
        <f t="shared" si="38"/>
        <v>9.5536525055255712</v>
      </c>
      <c r="AY29" s="26">
        <f t="shared" si="39"/>
        <v>0.22653264322662353</v>
      </c>
      <c r="AZ29" s="23">
        <f t="shared" si="40"/>
        <v>5.7889773548141061</v>
      </c>
      <c r="BA29" s="25">
        <f t="shared" si="41"/>
        <v>0.54504419406796845</v>
      </c>
      <c r="BB29" s="27">
        <f t="shared" si="42"/>
        <v>1.2302540077752093</v>
      </c>
      <c r="BC29" s="28">
        <f t="shared" si="43"/>
        <v>-15.120913855600405</v>
      </c>
      <c r="BD29" s="27">
        <f t="shared" si="44"/>
        <v>-13.890659847825194</v>
      </c>
      <c r="BE29" s="24">
        <f t="shared" si="45"/>
        <v>76.046569655453581</v>
      </c>
      <c r="BG29" s="29">
        <f t="shared" si="46"/>
        <v>1.4574844007922302E-2</v>
      </c>
      <c r="BJ29"/>
    </row>
    <row r="30" spans="1:62" s="6" customFormat="1" ht="16" customHeight="1">
      <c r="A30" s="6">
        <v>10.1</v>
      </c>
      <c r="B30" s="6" t="s">
        <v>157</v>
      </c>
      <c r="C30" s="6" t="s">
        <v>158</v>
      </c>
      <c r="D30" s="6">
        <v>42.6</v>
      </c>
      <c r="E30" s="6">
        <v>500</v>
      </c>
      <c r="F30" s="6">
        <v>0.75</v>
      </c>
      <c r="G30" s="6">
        <v>0.9</v>
      </c>
      <c r="H30" s="16">
        <f t="shared" si="47"/>
        <v>1002.581967235354</v>
      </c>
      <c r="I30" s="17">
        <f t="shared" si="20"/>
        <v>729.581967235354</v>
      </c>
      <c r="J30" s="18">
        <v>103.51366891604106</v>
      </c>
      <c r="K30" s="19">
        <v>4.0494091521634745</v>
      </c>
      <c r="M30" s="9">
        <v>683.16607014041324</v>
      </c>
      <c r="O30" s="18">
        <v>11018.434662121676</v>
      </c>
      <c r="Q30" s="9">
        <v>81.771249112696253</v>
      </c>
      <c r="R30" s="9">
        <v>175.91560156639687</v>
      </c>
      <c r="S30" s="20">
        <f t="shared" si="21"/>
        <v>81.943862076216334</v>
      </c>
      <c r="T30" s="20">
        <f t="shared" si="22"/>
        <v>178.40282081662716</v>
      </c>
      <c r="U30" s="21">
        <v>7.3847797258481127E-3</v>
      </c>
      <c r="V30" s="19">
        <v>35.970595677664647</v>
      </c>
      <c r="W30" s="21">
        <v>6.5886729701761362E-2</v>
      </c>
      <c r="X30" s="22">
        <v>0.52913275511786295</v>
      </c>
      <c r="Y30" s="22">
        <v>1.5241893415417485</v>
      </c>
      <c r="Z30" s="21">
        <v>0.94016665583603165</v>
      </c>
      <c r="AA30" s="19">
        <v>24.119788361476424</v>
      </c>
      <c r="AB30" s="19">
        <v>14.962577862798392</v>
      </c>
      <c r="AC30" s="22">
        <v>4.8089971542131478</v>
      </c>
      <c r="AD30" s="18">
        <v>55.927113643365587</v>
      </c>
      <c r="AE30" s="18">
        <v>113.52093361437892</v>
      </c>
      <c r="AF30" s="18">
        <v>25.934756143153052</v>
      </c>
      <c r="AG30" s="18">
        <v>245.57259596884822</v>
      </c>
      <c r="AH30" s="18">
        <v>50.591338795827873</v>
      </c>
      <c r="AI30" s="29">
        <f t="shared" si="23"/>
        <v>3.1159408125941406E-2</v>
      </c>
      <c r="AJ30" s="23">
        <f t="shared" si="24"/>
        <v>58.679601431753099</v>
      </c>
      <c r="AK30" s="23">
        <f t="shared" si="25"/>
        <v>0.70998631144139401</v>
      </c>
      <c r="AL30" s="23">
        <f t="shared" si="26"/>
        <v>1.1578397267349299</v>
      </c>
      <c r="AM30" s="23">
        <f t="shared" si="27"/>
        <v>10.298576632038841</v>
      </c>
      <c r="AN30" s="23">
        <f t="shared" si="28"/>
        <v>16.699230121421522</v>
      </c>
      <c r="AO30" s="23">
        <f t="shared" si="29"/>
        <v>121.20496664058504</v>
      </c>
      <c r="AP30" s="23">
        <f t="shared" si="30"/>
        <v>414.47584107474773</v>
      </c>
      <c r="AQ30" s="23">
        <f t="shared" si="31"/>
        <v>19.548768919565642</v>
      </c>
      <c r="AR30" s="23">
        <f t="shared" si="32"/>
        <v>1024.3061106843513</v>
      </c>
      <c r="AS30" s="23">
        <f t="shared" si="33"/>
        <v>709.50583508986824</v>
      </c>
      <c r="AT30" s="23">
        <f t="shared" si="34"/>
        <v>1049.9901272531599</v>
      </c>
      <c r="AU30" s="23">
        <f t="shared" si="35"/>
        <v>1525.2956271357032</v>
      </c>
      <c r="AV30" s="24">
        <f t="shared" si="36"/>
        <v>2056.5584876352796</v>
      </c>
      <c r="AW30" s="23">
        <f t="shared" si="37"/>
        <v>0.4726586811509958</v>
      </c>
      <c r="AX30" s="25">
        <f t="shared" si="38"/>
        <v>3.0988004734438546</v>
      </c>
      <c r="AY30" s="26">
        <f t="shared" si="39"/>
        <v>0.20162571148265265</v>
      </c>
      <c r="AZ30" s="23">
        <f t="shared" si="40"/>
        <v>44.056506545235621</v>
      </c>
      <c r="BA30" s="25">
        <f t="shared" si="41"/>
        <v>1.3382921832871415</v>
      </c>
      <c r="BB30" s="27">
        <f t="shared" si="42"/>
        <v>2.7899506634626299</v>
      </c>
      <c r="BC30" s="28">
        <f t="shared" si="43"/>
        <v>-16.378743949761212</v>
      </c>
      <c r="BD30" s="27">
        <f t="shared" si="44"/>
        <v>-13.588793286298582</v>
      </c>
      <c r="BE30" s="24">
        <f t="shared" si="45"/>
        <v>74.184371222903806</v>
      </c>
      <c r="BG30" s="29">
        <f t="shared" si="46"/>
        <v>1.2816380360491533E-2</v>
      </c>
      <c r="BJ30"/>
    </row>
    <row r="31" spans="1:62" s="6" customFormat="1" ht="16" customHeight="1">
      <c r="A31" s="6">
        <v>10.199999999999999</v>
      </c>
      <c r="B31" s="6" t="s">
        <v>157</v>
      </c>
      <c r="C31" s="6" t="s">
        <v>159</v>
      </c>
      <c r="D31" s="6">
        <v>42.6</v>
      </c>
      <c r="E31" s="6">
        <v>500</v>
      </c>
      <c r="F31" s="6">
        <v>0.75</v>
      </c>
      <c r="G31" s="6">
        <v>0.9</v>
      </c>
      <c r="H31" s="16">
        <f t="shared" si="47"/>
        <v>1052.1683745312932</v>
      </c>
      <c r="I31" s="17">
        <f t="shared" si="20"/>
        <v>779.16837453129324</v>
      </c>
      <c r="J31" s="18">
        <v>121.45199820315935</v>
      </c>
      <c r="K31" s="19">
        <v>6.9852504533222533</v>
      </c>
      <c r="M31" s="9">
        <v>394.85138105770244</v>
      </c>
      <c r="O31" s="18">
        <v>10106.912956637419</v>
      </c>
      <c r="Q31" s="9">
        <v>38.852470770209571</v>
      </c>
      <c r="R31" s="9">
        <v>66.425082911927475</v>
      </c>
      <c r="S31" s="20">
        <f t="shared" si="21"/>
        <v>38.93448541707501</v>
      </c>
      <c r="T31" s="20">
        <f t="shared" si="22"/>
        <v>67.364247735545064</v>
      </c>
      <c r="U31" s="21">
        <v>1.2869540932621886E-2</v>
      </c>
      <c r="V31" s="19">
        <v>13.566042229943871</v>
      </c>
      <c r="W31" s="21">
        <v>8.0375095453672635E-2</v>
      </c>
      <c r="X31" s="22">
        <v>0.84404796259421266</v>
      </c>
      <c r="Y31" s="22">
        <v>1.8798900478094558</v>
      </c>
      <c r="Z31" s="21">
        <v>1.1103294008728095</v>
      </c>
      <c r="AA31" s="19">
        <v>14.721187170231914</v>
      </c>
      <c r="AB31" s="19">
        <v>13.261382915307498</v>
      </c>
      <c r="AC31" s="22">
        <v>4.0295633161054996</v>
      </c>
      <c r="AD31" s="18">
        <v>42.165095389421715</v>
      </c>
      <c r="AE31" s="18">
        <v>66.152784238826428</v>
      </c>
      <c r="AF31" s="18">
        <v>14.891415107221215</v>
      </c>
      <c r="AG31" s="18">
        <v>137.2791332792554</v>
      </c>
      <c r="AH31" s="18">
        <v>29.076148683266389</v>
      </c>
      <c r="AI31" s="29">
        <f t="shared" si="23"/>
        <v>5.4301860475197833E-2</v>
      </c>
      <c r="AJ31" s="23">
        <f t="shared" si="24"/>
        <v>22.130574600234702</v>
      </c>
      <c r="AK31" s="23">
        <f t="shared" si="25"/>
        <v>0.86611094238871378</v>
      </c>
      <c r="AL31" s="23">
        <f t="shared" si="26"/>
        <v>1.8469320844512311</v>
      </c>
      <c r="AM31" s="23">
        <f t="shared" si="27"/>
        <v>12.701959782496324</v>
      </c>
      <c r="AN31" s="23">
        <f t="shared" si="28"/>
        <v>19.72165898530745</v>
      </c>
      <c r="AO31" s="23">
        <f t="shared" si="29"/>
        <v>73.975814925788512</v>
      </c>
      <c r="AP31" s="23">
        <f t="shared" si="30"/>
        <v>367.3513272938365</v>
      </c>
      <c r="AQ31" s="23">
        <f t="shared" si="31"/>
        <v>16.380338683355689</v>
      </c>
      <c r="AR31" s="23">
        <f t="shared" si="32"/>
        <v>772.25449431175298</v>
      </c>
      <c r="AS31" s="23">
        <f t="shared" si="33"/>
        <v>413.45490149266516</v>
      </c>
      <c r="AT31" s="23">
        <f t="shared" si="34"/>
        <v>602.89129988749858</v>
      </c>
      <c r="AU31" s="23">
        <f t="shared" si="35"/>
        <v>852.66542409475403</v>
      </c>
      <c r="AV31" s="24">
        <f t="shared" si="36"/>
        <v>1181.9572635474142</v>
      </c>
      <c r="AW31" s="23">
        <f t="shared" si="37"/>
        <v>0.64337354525956758</v>
      </c>
      <c r="AX31" s="25">
        <f t="shared" si="38"/>
        <v>7.5454395954030318</v>
      </c>
      <c r="AY31" s="26">
        <f t="shared" si="39"/>
        <v>0.20138341458514775</v>
      </c>
      <c r="AZ31" s="23">
        <f t="shared" si="40"/>
        <v>9.6437841686128767</v>
      </c>
      <c r="BA31" s="25">
        <f t="shared" si="41"/>
        <v>0.62538497266480442</v>
      </c>
      <c r="BB31" s="27">
        <f t="shared" si="42"/>
        <v>1.468997470709924</v>
      </c>
      <c r="BC31" s="28">
        <f t="shared" si="43"/>
        <v>-15.208862547076205</v>
      </c>
      <c r="BD31" s="27">
        <f t="shared" si="44"/>
        <v>-13.73986507636628</v>
      </c>
      <c r="BE31" s="24">
        <f t="shared" si="45"/>
        <v>30.346464629633576</v>
      </c>
      <c r="BG31" s="29">
        <f t="shared" si="46"/>
        <v>1.9210745763200306E-2</v>
      </c>
      <c r="BJ31"/>
    </row>
    <row r="32" spans="1:62" s="6" customFormat="1" ht="16" customHeight="1">
      <c r="A32" s="6">
        <v>11.1</v>
      </c>
      <c r="B32" s="6" t="s">
        <v>157</v>
      </c>
      <c r="C32" s="6" t="s">
        <v>158</v>
      </c>
      <c r="D32" s="6">
        <v>42.6</v>
      </c>
      <c r="E32" s="6">
        <v>500</v>
      </c>
      <c r="F32" s="6">
        <v>0.75</v>
      </c>
      <c r="G32" s="6">
        <v>0.9</v>
      </c>
      <c r="H32" s="16">
        <f t="shared" si="47"/>
        <v>996.76741542366869</v>
      </c>
      <c r="I32" s="17">
        <f t="shared" si="20"/>
        <v>723.76741542366869</v>
      </c>
      <c r="J32" s="18">
        <v>89.826347654635185</v>
      </c>
      <c r="K32" s="19">
        <v>3.7851415304119187</v>
      </c>
      <c r="M32" s="9">
        <v>512.81213829049216</v>
      </c>
      <c r="O32" s="18">
        <v>11697.202296596033</v>
      </c>
      <c r="Q32" s="9">
        <v>47.080920371420198</v>
      </c>
      <c r="R32" s="9">
        <v>121.89247062536538</v>
      </c>
      <c r="S32" s="20">
        <f t="shared" si="21"/>
        <v>47.180304657202157</v>
      </c>
      <c r="T32" s="20">
        <f t="shared" si="22"/>
        <v>123.61587262438084</v>
      </c>
      <c r="U32" s="21">
        <v>1.5741849738400017E-2</v>
      </c>
      <c r="V32" s="19">
        <v>25.016306049569732</v>
      </c>
      <c r="W32" s="21">
        <v>5.2668073924875373E-2</v>
      </c>
      <c r="X32" s="22">
        <v>0.35813894785539785</v>
      </c>
      <c r="Y32" s="22">
        <v>1.0533097807779506</v>
      </c>
      <c r="Z32" s="21">
        <v>0.79423393023559485</v>
      </c>
      <c r="AA32" s="19">
        <v>18.138370655735649</v>
      </c>
      <c r="AB32" s="19">
        <v>11.280776845548585</v>
      </c>
      <c r="AC32" s="22">
        <v>3.9014718360350993</v>
      </c>
      <c r="AD32" s="18">
        <v>45.097175125891994</v>
      </c>
      <c r="AE32" s="18">
        <v>91.073317457218536</v>
      </c>
      <c r="AF32" s="18">
        <v>20.965799009871908</v>
      </c>
      <c r="AG32" s="18">
        <v>197.15496577377871</v>
      </c>
      <c r="AH32" s="18">
        <v>42.429174683192386</v>
      </c>
      <c r="AI32" s="29">
        <f t="shared" si="23"/>
        <v>6.642130691308025E-2</v>
      </c>
      <c r="AJ32" s="23">
        <f t="shared" si="24"/>
        <v>40.809634664877215</v>
      </c>
      <c r="AK32" s="23">
        <f t="shared" si="25"/>
        <v>0.56754390005253641</v>
      </c>
      <c r="AL32" s="23">
        <f t="shared" si="26"/>
        <v>0.78367384651071736</v>
      </c>
      <c r="AM32" s="23">
        <f t="shared" si="27"/>
        <v>7.1169579782293964</v>
      </c>
      <c r="AN32" s="23">
        <f t="shared" si="28"/>
        <v>14.107174604539873</v>
      </c>
      <c r="AO32" s="23">
        <f t="shared" si="29"/>
        <v>91.147591234852499</v>
      </c>
      <c r="AP32" s="23">
        <f t="shared" si="30"/>
        <v>312.48689322849265</v>
      </c>
      <c r="AQ32" s="23">
        <f t="shared" si="31"/>
        <v>15.859641609898778</v>
      </c>
      <c r="AR32" s="23">
        <f t="shared" si="32"/>
        <v>825.95558838630018</v>
      </c>
      <c r="AS32" s="23">
        <f t="shared" si="33"/>
        <v>569.20823410761579</v>
      </c>
      <c r="AT32" s="23">
        <f t="shared" si="34"/>
        <v>848.81777367902464</v>
      </c>
      <c r="AU32" s="23">
        <f t="shared" si="35"/>
        <v>1224.5650048060788</v>
      </c>
      <c r="AV32" s="24">
        <f t="shared" si="36"/>
        <v>1724.7631985037556</v>
      </c>
      <c r="AW32" s="23">
        <f t="shared" si="37"/>
        <v>0.55388581479242815</v>
      </c>
      <c r="AX32" s="25">
        <f t="shared" si="38"/>
        <v>4.5231230079136635</v>
      </c>
      <c r="AY32" s="26">
        <f t="shared" si="39"/>
        <v>0.20237130975553821</v>
      </c>
      <c r="AZ32" s="23">
        <f t="shared" si="40"/>
        <v>32.658190355943788</v>
      </c>
      <c r="BA32" s="25">
        <f t="shared" si="41"/>
        <v>1.1564983047928861</v>
      </c>
      <c r="BB32" s="27">
        <f t="shared" si="42"/>
        <v>2.536453712054112</v>
      </c>
      <c r="BC32" s="28">
        <f t="shared" si="43"/>
        <v>-16.523672377090563</v>
      </c>
      <c r="BD32" s="27">
        <f t="shared" si="44"/>
        <v>-13.987218665036451</v>
      </c>
      <c r="BE32" s="24">
        <f t="shared" si="45"/>
        <v>101.54745819348818</v>
      </c>
      <c r="BG32" s="29">
        <f t="shared" si="46"/>
        <v>1.2951245174942999E-2</v>
      </c>
      <c r="BJ32"/>
    </row>
    <row r="33" spans="1:62" s="6" customFormat="1" ht="16" customHeight="1">
      <c r="A33" s="6">
        <v>11.2</v>
      </c>
      <c r="B33" s="6" t="s">
        <v>157</v>
      </c>
      <c r="C33" s="6" t="s">
        <v>164</v>
      </c>
      <c r="D33" s="6">
        <v>42.6</v>
      </c>
      <c r="E33" s="6">
        <v>500</v>
      </c>
      <c r="F33" s="6">
        <v>0.75</v>
      </c>
      <c r="G33" s="6">
        <v>0.9</v>
      </c>
      <c r="H33" s="16">
        <f t="shared" si="47"/>
        <v>978.5651028823421</v>
      </c>
      <c r="I33" s="17">
        <f t="shared" si="20"/>
        <v>705.5651028823421</v>
      </c>
      <c r="J33" s="18">
        <v>158.61359067181758</v>
      </c>
      <c r="K33" s="19">
        <v>3.0484385758816059</v>
      </c>
      <c r="M33" s="9">
        <v>380.44523221278575</v>
      </c>
      <c r="O33" s="18">
        <v>11572.856246594829</v>
      </c>
      <c r="Q33" s="9">
        <v>34.347731500996233</v>
      </c>
      <c r="R33" s="9">
        <v>97.226829131319477</v>
      </c>
      <c r="S33" s="20">
        <f t="shared" si="21"/>
        <v>34.42023698169897</v>
      </c>
      <c r="T33" s="20">
        <f t="shared" si="22"/>
        <v>98.601490837848061</v>
      </c>
      <c r="U33" s="21">
        <v>5.0222068415146813E-3</v>
      </c>
      <c r="V33" s="19">
        <v>14.943666021625418</v>
      </c>
      <c r="W33" s="21">
        <v>5.6009928013663987E-2</v>
      </c>
      <c r="X33" s="22">
        <v>0.24033787849578289</v>
      </c>
      <c r="Y33" s="22">
        <v>0.81425821941920995</v>
      </c>
      <c r="Z33" s="21">
        <v>0.55745517317553661</v>
      </c>
      <c r="AA33" s="19">
        <v>13.903652485984388</v>
      </c>
      <c r="AB33" s="19">
        <v>7.5624509317520348</v>
      </c>
      <c r="AC33" s="22">
        <v>2.7291021849748311</v>
      </c>
      <c r="AD33" s="18">
        <v>33.277231952513631</v>
      </c>
      <c r="AE33" s="18">
        <v>63.761869150539752</v>
      </c>
      <c r="AF33" s="18">
        <v>15.051205270635405</v>
      </c>
      <c r="AG33" s="18">
        <v>147.55150458408977</v>
      </c>
      <c r="AH33" s="18">
        <v>32.537426797286543</v>
      </c>
      <c r="AI33" s="29">
        <f t="shared" si="23"/>
        <v>2.1190746166728613E-2</v>
      </c>
      <c r="AJ33" s="23">
        <f t="shared" si="24"/>
        <v>24.377921731852233</v>
      </c>
      <c r="AK33" s="23">
        <f t="shared" si="25"/>
        <v>0.60355525876793092</v>
      </c>
      <c r="AL33" s="23">
        <f t="shared" si="26"/>
        <v>0.52590345403891225</v>
      </c>
      <c r="AM33" s="23">
        <f t="shared" si="27"/>
        <v>5.501744725805473</v>
      </c>
      <c r="AN33" s="23">
        <f t="shared" si="28"/>
        <v>9.9015128450361729</v>
      </c>
      <c r="AO33" s="23">
        <f t="shared" si="29"/>
        <v>69.867600432082341</v>
      </c>
      <c r="AP33" s="23">
        <f t="shared" si="30"/>
        <v>209.48617539479321</v>
      </c>
      <c r="AQ33" s="23">
        <f t="shared" si="31"/>
        <v>11.093911321035899</v>
      </c>
      <c r="AR33" s="23">
        <f t="shared" si="32"/>
        <v>609.47311268339979</v>
      </c>
      <c r="AS33" s="23">
        <f t="shared" si="33"/>
        <v>398.51168219087344</v>
      </c>
      <c r="AT33" s="23">
        <f t="shared" si="34"/>
        <v>609.36053727268848</v>
      </c>
      <c r="AU33" s="23">
        <f t="shared" si="35"/>
        <v>916.46897257198611</v>
      </c>
      <c r="AV33" s="24">
        <f t="shared" si="36"/>
        <v>1322.659625905957</v>
      </c>
      <c r="AW33" s="23">
        <f t="shared" si="37"/>
        <v>0.50502563499225372</v>
      </c>
      <c r="AX33" s="25">
        <f t="shared" si="38"/>
        <v>5.5105590053413982</v>
      </c>
      <c r="AY33" s="26">
        <f t="shared" si="39"/>
        <v>0.15155618738260812</v>
      </c>
      <c r="AZ33" s="23">
        <f t="shared" si="40"/>
        <v>32.344916383736745</v>
      </c>
      <c r="BA33" s="25">
        <f t="shared" si="41"/>
        <v>0.86193931002623037</v>
      </c>
      <c r="BB33" s="27">
        <f t="shared" si="42"/>
        <v>2.026035797864691</v>
      </c>
      <c r="BC33" s="28">
        <f t="shared" si="43"/>
        <v>-16.988728747948979</v>
      </c>
      <c r="BD33" s="27">
        <f t="shared" si="44"/>
        <v>-14.962692950084289</v>
      </c>
      <c r="BE33" s="24">
        <f t="shared" si="45"/>
        <v>121.84241805914361</v>
      </c>
      <c r="BG33" s="29">
        <f t="shared" si="46"/>
        <v>1.2105059367042021E-2</v>
      </c>
      <c r="BJ33"/>
    </row>
    <row r="34" spans="1:62" s="6" customFormat="1" ht="16" customHeight="1">
      <c r="A34" s="6">
        <v>11.3</v>
      </c>
      <c r="B34" s="6" t="s">
        <v>157</v>
      </c>
      <c r="C34" s="6" t="s">
        <v>159</v>
      </c>
      <c r="D34" s="6">
        <v>42.6</v>
      </c>
      <c r="E34" s="6">
        <v>500</v>
      </c>
      <c r="F34" s="6">
        <v>0.75</v>
      </c>
      <c r="G34" s="6">
        <v>0.9</v>
      </c>
      <c r="H34" s="16">
        <f t="shared" si="47"/>
        <v>1017.3844149791446</v>
      </c>
      <c r="I34" s="17">
        <f t="shared" si="20"/>
        <v>744.38441497914459</v>
      </c>
      <c r="J34" s="18">
        <v>106.97393684108452</v>
      </c>
      <c r="K34" s="19">
        <v>4.7917552490724029</v>
      </c>
      <c r="M34" s="9">
        <v>324.20810487141807</v>
      </c>
      <c r="O34" s="18">
        <v>10333.890052485751</v>
      </c>
      <c r="Q34" s="9">
        <v>24.863929249184519</v>
      </c>
      <c r="R34" s="9">
        <v>55.101444340146479</v>
      </c>
      <c r="S34" s="20">
        <f t="shared" si="21"/>
        <v>24.916415135838157</v>
      </c>
      <c r="T34" s="20">
        <f t="shared" si="22"/>
        <v>55.880507549196622</v>
      </c>
      <c r="U34" s="21">
        <v>4.9406292649014048E-3</v>
      </c>
      <c r="V34" s="19">
        <v>13.260951076692141</v>
      </c>
      <c r="W34" s="21">
        <v>4.4080110310370277E-2</v>
      </c>
      <c r="X34" s="22">
        <v>0.35658895465526813</v>
      </c>
      <c r="Y34" s="22">
        <v>0.83154742153929617</v>
      </c>
      <c r="Z34" s="21">
        <v>0.59700842255148101</v>
      </c>
      <c r="AA34" s="19">
        <v>11.429203867946164</v>
      </c>
      <c r="AB34" s="19">
        <v>7.727498420126107</v>
      </c>
      <c r="AC34" s="22">
        <v>2.5919114660156581</v>
      </c>
      <c r="AD34" s="18">
        <v>28.093021860463526</v>
      </c>
      <c r="AE34" s="18">
        <v>50.525209221705104</v>
      </c>
      <c r="AF34" s="18">
        <v>11.95513557898882</v>
      </c>
      <c r="AG34" s="18">
        <v>107.95761479808786</v>
      </c>
      <c r="AH34" s="18">
        <v>23.841194073504077</v>
      </c>
      <c r="AI34" s="29">
        <f t="shared" si="23"/>
        <v>2.0846536982706349E-2</v>
      </c>
      <c r="AJ34" s="23">
        <f t="shared" si="24"/>
        <v>21.632872882042644</v>
      </c>
      <c r="AK34" s="23">
        <f t="shared" si="25"/>
        <v>0.47500118868933489</v>
      </c>
      <c r="AL34" s="23">
        <f t="shared" si="26"/>
        <v>0.78028217648855169</v>
      </c>
      <c r="AM34" s="23">
        <f t="shared" si="27"/>
        <v>5.6185636590492987</v>
      </c>
      <c r="AN34" s="23">
        <f t="shared" si="28"/>
        <v>10.604057238925062</v>
      </c>
      <c r="AO34" s="23">
        <f t="shared" si="29"/>
        <v>57.433185266061123</v>
      </c>
      <c r="AP34" s="23">
        <f t="shared" si="30"/>
        <v>214.0581279813326</v>
      </c>
      <c r="AQ34" s="23">
        <f t="shared" si="31"/>
        <v>10.536225471608367</v>
      </c>
      <c r="AR34" s="23">
        <f t="shared" si="32"/>
        <v>514.52420989859934</v>
      </c>
      <c r="AS34" s="23">
        <f t="shared" si="33"/>
        <v>315.78255763565687</v>
      </c>
      <c r="AT34" s="23">
        <f t="shared" si="34"/>
        <v>484.01358619387935</v>
      </c>
      <c r="AU34" s="23">
        <f t="shared" si="35"/>
        <v>670.54419129247117</v>
      </c>
      <c r="AV34" s="24">
        <f t="shared" si="36"/>
        <v>969.15423063024707</v>
      </c>
      <c r="AW34" s="23">
        <f t="shared" si="37"/>
        <v>0.5903070348446654</v>
      </c>
      <c r="AX34" s="25">
        <f t="shared" si="38"/>
        <v>8.8034024082268321</v>
      </c>
      <c r="AY34" s="26">
        <f t="shared" si="39"/>
        <v>0.23730906640419</v>
      </c>
      <c r="AZ34" s="23">
        <f t="shared" si="40"/>
        <v>11.661803377794406</v>
      </c>
      <c r="BA34" s="25">
        <f t="shared" si="41"/>
        <v>0.81039581233014546</v>
      </c>
      <c r="BB34" s="27">
        <f t="shared" si="42"/>
        <v>1.9189713582970764</v>
      </c>
      <c r="BC34" s="28">
        <f t="shared" si="43"/>
        <v>-16.017399217537246</v>
      </c>
      <c r="BD34" s="27">
        <f t="shared" si="44"/>
        <v>-14.09842785924017</v>
      </c>
      <c r="BE34" s="24">
        <f t="shared" si="45"/>
        <v>85.514280112184125</v>
      </c>
      <c r="BG34" s="29">
        <f t="shared" si="46"/>
        <v>1.5712947197857065E-2</v>
      </c>
      <c r="BJ34"/>
    </row>
    <row r="35" spans="1:62" s="6" customFormat="1" ht="16" customHeight="1">
      <c r="A35" s="6">
        <v>12.1</v>
      </c>
      <c r="B35" s="6" t="s">
        <v>157</v>
      </c>
      <c r="C35" s="6" t="s">
        <v>158</v>
      </c>
      <c r="D35" s="6">
        <v>42.6</v>
      </c>
      <c r="E35" s="6">
        <v>500</v>
      </c>
      <c r="F35" s="6">
        <v>0.75</v>
      </c>
      <c r="G35" s="6">
        <v>0.9</v>
      </c>
      <c r="H35" s="16">
        <f t="shared" si="47"/>
        <v>999.96242889189568</v>
      </c>
      <c r="I35" s="17">
        <f t="shared" si="20"/>
        <v>726.96242889189568</v>
      </c>
      <c r="J35" s="18">
        <v>106.31944363249964</v>
      </c>
      <c r="K35" s="19">
        <v>3.928524682736898</v>
      </c>
      <c r="M35" s="9">
        <v>611.35389423917843</v>
      </c>
      <c r="O35" s="18">
        <v>11975.944490382775</v>
      </c>
      <c r="Q35" s="9">
        <v>76.399072543718376</v>
      </c>
      <c r="R35" s="9">
        <v>176.36152197479134</v>
      </c>
      <c r="S35" s="20">
        <f t="shared" si="21"/>
        <v>76.560345246105271</v>
      </c>
      <c r="T35" s="20">
        <f t="shared" si="22"/>
        <v>178.85504596328221</v>
      </c>
      <c r="U35" s="21">
        <v>2.5665307692857593E-3</v>
      </c>
      <c r="V35" s="19">
        <v>32.196685812714627</v>
      </c>
      <c r="W35" s="21">
        <v>5.1521606876022141E-2</v>
      </c>
      <c r="X35" s="22">
        <v>0.46712407734819633</v>
      </c>
      <c r="Y35" s="22">
        <v>1.319681004590165</v>
      </c>
      <c r="Z35" s="21">
        <v>0.90384627345387336</v>
      </c>
      <c r="AA35" s="19">
        <v>21.763110442346296</v>
      </c>
      <c r="AB35" s="19">
        <v>13.302083271102026</v>
      </c>
      <c r="AC35" s="22">
        <v>4.8749628937526186</v>
      </c>
      <c r="AD35" s="18">
        <v>55.052821913266939</v>
      </c>
      <c r="AE35" s="18">
        <v>105.00367341354898</v>
      </c>
      <c r="AF35" s="18">
        <v>24.686052482227844</v>
      </c>
      <c r="AG35" s="18">
        <v>235.92186859466432</v>
      </c>
      <c r="AH35" s="18">
        <v>48.803520981167715</v>
      </c>
      <c r="AI35" s="29">
        <f t="shared" si="23"/>
        <v>1.0829243752260588E-2</v>
      </c>
      <c r="AJ35" s="23">
        <f t="shared" si="24"/>
        <v>52.523141619436586</v>
      </c>
      <c r="AK35" s="23">
        <f t="shared" si="25"/>
        <v>0.55518972926748</v>
      </c>
      <c r="AL35" s="23">
        <f t="shared" si="26"/>
        <v>1.0221533421185915</v>
      </c>
      <c r="AM35" s="23">
        <f t="shared" si="27"/>
        <v>8.916763544528143</v>
      </c>
      <c r="AN35" s="23">
        <f t="shared" si="28"/>
        <v>16.054107876622972</v>
      </c>
      <c r="AO35" s="23">
        <f t="shared" si="29"/>
        <v>109.36236403189093</v>
      </c>
      <c r="AP35" s="23">
        <f t="shared" si="30"/>
        <v>368.4787609723553</v>
      </c>
      <c r="AQ35" s="23">
        <f t="shared" si="31"/>
        <v>19.816922332327717</v>
      </c>
      <c r="AR35" s="23">
        <f t="shared" si="32"/>
        <v>1008.2934416349256</v>
      </c>
      <c r="AS35" s="23">
        <f t="shared" si="33"/>
        <v>656.27295883468116</v>
      </c>
      <c r="AT35" s="23">
        <f t="shared" si="34"/>
        <v>999.43532316711924</v>
      </c>
      <c r="AU35" s="23">
        <f t="shared" si="35"/>
        <v>1465.3532210848714</v>
      </c>
      <c r="AV35" s="24">
        <f t="shared" si="36"/>
        <v>1983.8829667141347</v>
      </c>
      <c r="AW35" s="23">
        <f t="shared" si="37"/>
        <v>0.51410118753668577</v>
      </c>
      <c r="AX35" s="25">
        <f t="shared" si="38"/>
        <v>3.5083772304132377</v>
      </c>
      <c r="AY35" s="26">
        <f t="shared" si="39"/>
        <v>0.18001552955528244</v>
      </c>
      <c r="AZ35" s="23">
        <f t="shared" si="40"/>
        <v>45.527280698839512</v>
      </c>
      <c r="BA35" s="25">
        <f t="shared" si="41"/>
        <v>1.214635102511932</v>
      </c>
      <c r="BB35" s="27">
        <f t="shared" si="42"/>
        <v>2.621614420024986</v>
      </c>
      <c r="BC35" s="28">
        <f t="shared" si="43"/>
        <v>-16.443823728963245</v>
      </c>
      <c r="BD35" s="27">
        <f t="shared" si="44"/>
        <v>-13.822209308938259</v>
      </c>
      <c r="BE35" s="24">
        <f t="shared" si="45"/>
        <v>84.05082084858384</v>
      </c>
      <c r="BG35" s="29">
        <f t="shared" si="46"/>
        <v>1.3523648801656366E-2</v>
      </c>
      <c r="BJ35"/>
    </row>
    <row r="36" spans="1:62" s="6" customFormat="1" ht="16" customHeight="1">
      <c r="A36" s="6">
        <v>12.2</v>
      </c>
      <c r="B36" s="6" t="s">
        <v>157</v>
      </c>
      <c r="C36" s="6" t="s">
        <v>159</v>
      </c>
      <c r="D36" s="6">
        <v>42.6</v>
      </c>
      <c r="E36" s="6">
        <v>500</v>
      </c>
      <c r="F36" s="6">
        <v>0.75</v>
      </c>
      <c r="G36" s="6">
        <v>0.9</v>
      </c>
      <c r="H36" s="16">
        <f t="shared" si="47"/>
        <v>1032.691974969772</v>
      </c>
      <c r="I36" s="17">
        <f t="shared" si="20"/>
        <v>759.69197496977199</v>
      </c>
      <c r="J36" s="18">
        <v>104.95583393722643</v>
      </c>
      <c r="K36" s="19">
        <v>5.673981897031533</v>
      </c>
      <c r="M36" s="9">
        <v>164.58479309383677</v>
      </c>
      <c r="O36" s="18">
        <v>10905.521756895816</v>
      </c>
      <c r="Q36" s="9">
        <v>23.485229502248472</v>
      </c>
      <c r="R36" s="9">
        <v>50.751579883530376</v>
      </c>
      <c r="S36" s="20">
        <f t="shared" si="21"/>
        <v>23.534805057316067</v>
      </c>
      <c r="T36" s="20">
        <f t="shared" si="22"/>
        <v>51.469141630992965</v>
      </c>
      <c r="U36" s="21">
        <v>9.8660311276580741E-3</v>
      </c>
      <c r="V36" s="19">
        <v>9.4301771798307552</v>
      </c>
      <c r="W36" s="21">
        <v>2.2006090576469999E-2</v>
      </c>
      <c r="X36" s="22">
        <v>0.18962970028174259</v>
      </c>
      <c r="Y36" s="22">
        <v>0.50272985627229827</v>
      </c>
      <c r="Z36" s="21">
        <v>0.36462192895205892</v>
      </c>
      <c r="AA36" s="19">
        <v>5.7914768383861013</v>
      </c>
      <c r="AB36" s="19">
        <v>3.8124091990696662</v>
      </c>
      <c r="AC36" s="22">
        <v>1.2953221119844338</v>
      </c>
      <c r="AD36" s="18">
        <v>14.212995740965216</v>
      </c>
      <c r="AE36" s="18">
        <v>27.491582818764233</v>
      </c>
      <c r="AF36" s="18">
        <v>6.0981314953008594</v>
      </c>
      <c r="AG36" s="18">
        <v>59.659493422923312</v>
      </c>
      <c r="AH36" s="18">
        <v>12.675134282977522</v>
      </c>
      <c r="AI36" s="29">
        <f t="shared" si="23"/>
        <v>4.1628823323451788E-2</v>
      </c>
      <c r="AJ36" s="23">
        <f t="shared" si="24"/>
        <v>15.383649559267138</v>
      </c>
      <c r="AK36" s="23">
        <f t="shared" si="25"/>
        <v>0.23713459672920259</v>
      </c>
      <c r="AL36" s="23">
        <f t="shared" si="26"/>
        <v>0.41494463956617633</v>
      </c>
      <c r="AM36" s="23">
        <f t="shared" si="27"/>
        <v>3.3968233531912047</v>
      </c>
      <c r="AN36" s="23">
        <f t="shared" si="28"/>
        <v>6.47641081619998</v>
      </c>
      <c r="AO36" s="23">
        <f t="shared" si="29"/>
        <v>29.102898685357292</v>
      </c>
      <c r="AP36" s="23">
        <f t="shared" si="30"/>
        <v>105.60690302132039</v>
      </c>
      <c r="AQ36" s="23">
        <f t="shared" si="31"/>
        <v>5.2655370405871293</v>
      </c>
      <c r="AR36" s="23">
        <f t="shared" si="32"/>
        <v>260.31127730705521</v>
      </c>
      <c r="AS36" s="23">
        <f t="shared" si="33"/>
        <v>171.82239261727645</v>
      </c>
      <c r="AT36" s="23">
        <f t="shared" si="34"/>
        <v>246.88791478950847</v>
      </c>
      <c r="AU36" s="23">
        <f t="shared" si="35"/>
        <v>370.55585976971003</v>
      </c>
      <c r="AV36" s="24">
        <f t="shared" si="36"/>
        <v>515.24936109664725</v>
      </c>
      <c r="AW36" s="23">
        <f t="shared" si="37"/>
        <v>0.65137304755713132</v>
      </c>
      <c r="AX36" s="25">
        <f t="shared" si="38"/>
        <v>17.578268711279893</v>
      </c>
      <c r="AY36" s="26">
        <f t="shared" si="39"/>
        <v>0.18322002040446356</v>
      </c>
      <c r="AZ36" s="23">
        <f t="shared" si="40"/>
        <v>9.0710796342018938</v>
      </c>
      <c r="BA36" s="25">
        <f t="shared" si="41"/>
        <v>0.55182632781225571</v>
      </c>
      <c r="BB36" s="27">
        <f t="shared" si="42"/>
        <v>1.2517260630357119</v>
      </c>
      <c r="BC36" s="28">
        <f t="shared" si="43"/>
        <v>-15.654787102101698</v>
      </c>
      <c r="BD36" s="27">
        <f t="shared" si="44"/>
        <v>-14.403061039065987</v>
      </c>
      <c r="BE36" s="24">
        <f t="shared" si="45"/>
        <v>225.25763166880299</v>
      </c>
      <c r="BG36" s="29">
        <f t="shared" si="46"/>
        <v>1.4209833421226996E-2</v>
      </c>
      <c r="BJ36"/>
    </row>
    <row r="37" spans="1:62" s="6" customFormat="1" ht="16" customHeight="1">
      <c r="A37" s="6">
        <v>12.3</v>
      </c>
      <c r="B37" s="6" t="s">
        <v>157</v>
      </c>
      <c r="C37" s="6" t="s">
        <v>164</v>
      </c>
      <c r="D37" s="6">
        <v>42.6</v>
      </c>
      <c r="E37" s="6">
        <v>500</v>
      </c>
      <c r="F37" s="6">
        <v>0.75</v>
      </c>
      <c r="G37" s="6">
        <v>0.9</v>
      </c>
      <c r="H37" s="16">
        <f t="shared" si="47"/>
        <v>982.1285277315601</v>
      </c>
      <c r="I37" s="17">
        <f t="shared" si="20"/>
        <v>709.1285277315601</v>
      </c>
      <c r="J37" s="18">
        <v>186.68262093925856</v>
      </c>
      <c r="K37" s="19">
        <v>3.1824004726177337</v>
      </c>
      <c r="M37" s="9">
        <v>448.86815935639692</v>
      </c>
      <c r="O37" s="18">
        <v>11602.300741155583</v>
      </c>
      <c r="Q37" s="9">
        <v>46.614646402809612</v>
      </c>
      <c r="R37" s="9">
        <v>122.43305679916662</v>
      </c>
      <c r="S37" s="20">
        <f t="shared" si="21"/>
        <v>46.713046419274328</v>
      </c>
      <c r="T37" s="20">
        <f t="shared" si="22"/>
        <v>124.16410198801809</v>
      </c>
      <c r="U37" s="21">
        <v>9.7116895400089203E-3</v>
      </c>
      <c r="V37" s="19">
        <v>17.376051993961418</v>
      </c>
      <c r="W37" s="21">
        <v>1.6246374826616044E-2</v>
      </c>
      <c r="X37" s="22">
        <v>0.32380348121283553</v>
      </c>
      <c r="Y37" s="22">
        <v>0.94849179252051241</v>
      </c>
      <c r="Z37" s="21">
        <v>0.61003789793191143</v>
      </c>
      <c r="AA37" s="19">
        <v>15.864675884954384</v>
      </c>
      <c r="AB37" s="19">
        <v>9.5308415886355959</v>
      </c>
      <c r="AC37" s="22">
        <v>3.371522934585776</v>
      </c>
      <c r="AD37" s="18">
        <v>38.112876106825397</v>
      </c>
      <c r="AE37" s="18">
        <v>76.8764812329552</v>
      </c>
      <c r="AF37" s="18">
        <v>18.276595756511632</v>
      </c>
      <c r="AG37" s="18">
        <v>172.47146876867748</v>
      </c>
      <c r="AH37" s="18">
        <v>38.253192787642725</v>
      </c>
      <c r="AI37" s="29">
        <f t="shared" si="23"/>
        <v>4.0977592995818234E-2</v>
      </c>
      <c r="AJ37" s="23">
        <f t="shared" si="24"/>
        <v>28.345924949366101</v>
      </c>
      <c r="AK37" s="23">
        <f t="shared" si="25"/>
        <v>0.17506869425232807</v>
      </c>
      <c r="AL37" s="23">
        <f t="shared" si="26"/>
        <v>0.70854153438257228</v>
      </c>
      <c r="AM37" s="23">
        <f t="shared" si="27"/>
        <v>6.4087283278413008</v>
      </c>
      <c r="AN37" s="23">
        <f t="shared" si="28"/>
        <v>10.835486641774626</v>
      </c>
      <c r="AO37" s="23">
        <f t="shared" si="29"/>
        <v>79.721989371630059</v>
      </c>
      <c r="AP37" s="23">
        <f t="shared" si="30"/>
        <v>264.01223237217715</v>
      </c>
      <c r="AQ37" s="23">
        <f t="shared" si="31"/>
        <v>13.705377782869009</v>
      </c>
      <c r="AR37" s="23">
        <f t="shared" si="32"/>
        <v>698.038023934531</v>
      </c>
      <c r="AS37" s="23">
        <f t="shared" si="33"/>
        <v>480.47800770597001</v>
      </c>
      <c r="AT37" s="23">
        <f t="shared" si="34"/>
        <v>739.94314803690816</v>
      </c>
      <c r="AU37" s="23">
        <f t="shared" si="35"/>
        <v>1071.2513588116612</v>
      </c>
      <c r="AV37" s="24">
        <f t="shared" si="36"/>
        <v>1555.0078368960458</v>
      </c>
      <c r="AW37" s="23">
        <f t="shared" si="37"/>
        <v>0.47937284220411547</v>
      </c>
      <c r="AX37" s="25">
        <f t="shared" si="38"/>
        <v>4.4748866665231919</v>
      </c>
      <c r="AY37" s="26">
        <f t="shared" si="39"/>
        <v>0.1399442489072906</v>
      </c>
      <c r="AZ37" s="23">
        <f t="shared" si="40"/>
        <v>39.015863357349538</v>
      </c>
      <c r="BA37" s="25">
        <f t="shared" si="41"/>
        <v>0.87412927734305867</v>
      </c>
      <c r="BB37" s="27">
        <f t="shared" si="42"/>
        <v>2.0504195141469523</v>
      </c>
      <c r="BC37" s="28">
        <f t="shared" si="43"/>
        <v>-16.896299825454125</v>
      </c>
      <c r="BD37" s="27">
        <f t="shared" si="44"/>
        <v>-14.845880311307173</v>
      </c>
      <c r="BE37" s="24">
        <f t="shared" si="45"/>
        <v>89.126431805827352</v>
      </c>
      <c r="BG37" s="29">
        <f t="shared" si="46"/>
        <v>1.2793802005602475E-2</v>
      </c>
      <c r="BJ37"/>
    </row>
    <row r="38" spans="1:62" s="6" customFormat="1" ht="16" customHeight="1">
      <c r="A38" s="6">
        <v>15.1</v>
      </c>
      <c r="B38" s="6" t="s">
        <v>157</v>
      </c>
      <c r="C38" s="6" t="s">
        <v>159</v>
      </c>
      <c r="D38" s="6">
        <v>42.6</v>
      </c>
      <c r="E38" s="6">
        <v>500</v>
      </c>
      <c r="F38" s="6">
        <v>0.75</v>
      </c>
      <c r="G38" s="6">
        <v>0.9</v>
      </c>
      <c r="H38" s="16">
        <f t="shared" si="47"/>
        <v>1022.1827160827978</v>
      </c>
      <c r="I38" s="17">
        <f t="shared" si="20"/>
        <v>749.18271608279781</v>
      </c>
      <c r="J38" s="18">
        <v>116.02898992301179</v>
      </c>
      <c r="K38" s="19">
        <v>5.0551842876575277</v>
      </c>
      <c r="M38" s="9">
        <v>417.16236217414252</v>
      </c>
      <c r="O38" s="18">
        <v>10864.55081159598</v>
      </c>
      <c r="Q38" s="9">
        <v>32.884356757730728</v>
      </c>
      <c r="R38" s="9">
        <v>51.970008511509477</v>
      </c>
      <c r="S38" s="20">
        <f t="shared" si="21"/>
        <v>32.953773164291675</v>
      </c>
      <c r="T38" s="20">
        <f t="shared" si="22"/>
        <v>52.704797265056555</v>
      </c>
      <c r="U38" s="21">
        <v>4.5667530619532604E-2</v>
      </c>
      <c r="V38" s="19">
        <v>10.543494086048321</v>
      </c>
      <c r="W38" s="21">
        <v>9.0543112779936846E-2</v>
      </c>
      <c r="X38" s="22">
        <v>0.93547174454614435</v>
      </c>
      <c r="Y38" s="22">
        <v>2.0175323604099806</v>
      </c>
      <c r="Z38" s="21">
        <v>1.1405265550601789</v>
      </c>
      <c r="AA38" s="19">
        <v>15.472575636589061</v>
      </c>
      <c r="AB38" s="19">
        <v>14.347704468941428</v>
      </c>
      <c r="AC38" s="22">
        <v>3.9971603201464423</v>
      </c>
      <c r="AD38" s="18">
        <v>41.611807238317397</v>
      </c>
      <c r="AE38" s="18">
        <v>71.027609726375488</v>
      </c>
      <c r="AF38" s="18">
        <v>15.614143693670391</v>
      </c>
      <c r="AG38" s="18">
        <v>144.24380256967302</v>
      </c>
      <c r="AH38" s="18">
        <v>30.657567231587201</v>
      </c>
      <c r="AI38" s="29">
        <f t="shared" si="23"/>
        <v>0.19269000261406163</v>
      </c>
      <c r="AJ38" s="23">
        <f t="shared" si="24"/>
        <v>17.199827220307213</v>
      </c>
      <c r="AK38" s="23">
        <f t="shared" si="25"/>
        <v>0.97568009461138849</v>
      </c>
      <c r="AL38" s="23">
        <f t="shared" si="26"/>
        <v>2.0469841237333575</v>
      </c>
      <c r="AM38" s="23">
        <f t="shared" si="27"/>
        <v>13.631975408175546</v>
      </c>
      <c r="AN38" s="23">
        <f t="shared" si="28"/>
        <v>20.258020516166585</v>
      </c>
      <c r="AO38" s="23">
        <f t="shared" si="29"/>
        <v>77.751636364769155</v>
      </c>
      <c r="AP38" s="23">
        <f t="shared" si="30"/>
        <v>397.44333708979025</v>
      </c>
      <c r="AQ38" s="23">
        <f t="shared" si="31"/>
        <v>16.248619187587163</v>
      </c>
      <c r="AR38" s="23">
        <f t="shared" si="32"/>
        <v>762.12101169079483</v>
      </c>
      <c r="AS38" s="23">
        <f t="shared" si="33"/>
        <v>443.92256078984678</v>
      </c>
      <c r="AT38" s="23">
        <f t="shared" si="34"/>
        <v>632.15156654535997</v>
      </c>
      <c r="AU38" s="23">
        <f t="shared" si="35"/>
        <v>895.92423956318646</v>
      </c>
      <c r="AV38" s="24">
        <f t="shared" si="36"/>
        <v>1246.2425703897236</v>
      </c>
      <c r="AW38" s="23">
        <f t="shared" si="37"/>
        <v>0.6222470418452305</v>
      </c>
      <c r="AX38" s="25">
        <f t="shared" si="38"/>
        <v>6.9453087032069929</v>
      </c>
      <c r="AY38" s="26">
        <f t="shared" si="39"/>
        <v>0.20004809112582794</v>
      </c>
      <c r="AZ38" s="23">
        <f t="shared" si="40"/>
        <v>10.425890386179949</v>
      </c>
      <c r="BA38" s="25">
        <f t="shared" si="41"/>
        <v>0.64593822977302917</v>
      </c>
      <c r="BB38" s="27">
        <f t="shared" si="42"/>
        <v>1.5251435738948549</v>
      </c>
      <c r="BC38" s="28">
        <f t="shared" si="43"/>
        <v>-15.902549478276828</v>
      </c>
      <c r="BD38" s="27">
        <f t="shared" si="44"/>
        <v>-14.377405904381973</v>
      </c>
      <c r="BE38" s="24">
        <f t="shared" si="45"/>
        <v>20.142088134836179</v>
      </c>
      <c r="BG38" s="29">
        <f t="shared" si="46"/>
        <v>1.8136153114362973E-2</v>
      </c>
      <c r="BJ38"/>
    </row>
    <row r="39" spans="1:62" s="6" customFormat="1" ht="16" customHeight="1">
      <c r="A39" s="6">
        <v>16.100000000000001</v>
      </c>
      <c r="B39" s="6" t="s">
        <v>157</v>
      </c>
      <c r="C39" s="6" t="s">
        <v>158</v>
      </c>
      <c r="D39" s="6">
        <v>42.6</v>
      </c>
      <c r="E39" s="6">
        <v>500</v>
      </c>
      <c r="F39" s="6">
        <v>0.75</v>
      </c>
      <c r="G39" s="6">
        <v>0.9</v>
      </c>
      <c r="H39" s="16">
        <f t="shared" si="47"/>
        <v>1028.4047972306548</v>
      </c>
      <c r="I39" s="17">
        <f t="shared" si="20"/>
        <v>755.40479723065482</v>
      </c>
      <c r="J39" s="18">
        <v>123.05197293456695</v>
      </c>
      <c r="K39" s="19">
        <v>5.4144331933865715</v>
      </c>
      <c r="M39" s="9">
        <v>818.48847249338235</v>
      </c>
      <c r="O39" s="18">
        <v>12048.573876411372</v>
      </c>
      <c r="Q39" s="9">
        <v>91.923073129305564</v>
      </c>
      <c r="R39" s="9">
        <v>192.07230904542715</v>
      </c>
      <c r="S39" s="20">
        <f t="shared" si="21"/>
        <v>92.117115830632713</v>
      </c>
      <c r="T39" s="20">
        <f t="shared" si="22"/>
        <v>194.78796325824382</v>
      </c>
      <c r="U39" s="21">
        <v>1.3467997800854132E-2</v>
      </c>
      <c r="V39" s="19">
        <v>41.050378294283405</v>
      </c>
      <c r="W39" s="21">
        <v>3.0040243706351125E-2</v>
      </c>
      <c r="X39" s="22">
        <v>0.54096702187189283</v>
      </c>
      <c r="Y39" s="22">
        <v>1.8258950426108884</v>
      </c>
      <c r="Z39" s="21">
        <v>1.1062419190728776</v>
      </c>
      <c r="AA39" s="19">
        <v>29.818704072063237</v>
      </c>
      <c r="AB39" s="19">
        <v>18.05800098669231</v>
      </c>
      <c r="AC39" s="22">
        <v>6.444540666612415</v>
      </c>
      <c r="AD39" s="18">
        <v>73.459132397031539</v>
      </c>
      <c r="AE39" s="18">
        <v>141.77251163009868</v>
      </c>
      <c r="AF39" s="18">
        <v>32.765399390030787</v>
      </c>
      <c r="AG39" s="18">
        <v>306.36819744726319</v>
      </c>
      <c r="AH39" s="18">
        <v>63.424482171745524</v>
      </c>
      <c r="AI39" s="29">
        <f t="shared" si="23"/>
        <v>5.6826994940312799E-2</v>
      </c>
      <c r="AJ39" s="23">
        <f t="shared" si="24"/>
        <v>66.966359370772281</v>
      </c>
      <c r="AK39" s="23">
        <f t="shared" si="25"/>
        <v>0.32370952269774922</v>
      </c>
      <c r="AL39" s="23">
        <f t="shared" si="26"/>
        <v>1.1837352776190215</v>
      </c>
      <c r="AM39" s="23">
        <f t="shared" si="27"/>
        <v>12.337128666289788</v>
      </c>
      <c r="AN39" s="23">
        <f t="shared" si="28"/>
        <v>19.649057177138143</v>
      </c>
      <c r="AO39" s="23">
        <f t="shared" si="29"/>
        <v>149.84273403046853</v>
      </c>
      <c r="AP39" s="23">
        <f t="shared" si="30"/>
        <v>500.2216339803964</v>
      </c>
      <c r="AQ39" s="23">
        <f t="shared" si="31"/>
        <v>26.197319782977296</v>
      </c>
      <c r="AR39" s="23">
        <f t="shared" si="32"/>
        <v>1345.4053552569878</v>
      </c>
      <c r="AS39" s="23">
        <f t="shared" si="33"/>
        <v>886.07819768811669</v>
      </c>
      <c r="AT39" s="23">
        <f t="shared" si="34"/>
        <v>1326.5343882603559</v>
      </c>
      <c r="AU39" s="23">
        <f t="shared" si="35"/>
        <v>1902.9080586786533</v>
      </c>
      <c r="AV39" s="24">
        <f t="shared" si="36"/>
        <v>2578.2309825912816</v>
      </c>
      <c r="AW39" s="23">
        <f t="shared" si="37"/>
        <v>0.45700065768096471</v>
      </c>
      <c r="AX39" s="25">
        <f t="shared" si="38"/>
        <v>2.4015908472125456</v>
      </c>
      <c r="AY39" s="26">
        <f t="shared" si="39"/>
        <v>0.21074391665495312</v>
      </c>
      <c r="AZ39" s="23">
        <f t="shared" si="40"/>
        <v>35.975688738050451</v>
      </c>
      <c r="BA39" s="25">
        <f t="shared" si="41"/>
        <v>1.2640364736099488</v>
      </c>
      <c r="BB39" s="27">
        <f t="shared" si="42"/>
        <v>2.6908349033431715</v>
      </c>
      <c r="BC39" s="28">
        <f t="shared" si="43"/>
        <v>-15.755240091061454</v>
      </c>
      <c r="BD39" s="27">
        <f t="shared" si="44"/>
        <v>-13.064405187718283</v>
      </c>
      <c r="BE39" s="24">
        <f t="shared" si="45"/>
        <v>69.117740328166448</v>
      </c>
      <c r="BG39" s="29">
        <f t="shared" si="46"/>
        <v>1.3766991875145174E-2</v>
      </c>
      <c r="BJ39"/>
    </row>
    <row r="40" spans="1:62" s="6" customFormat="1" ht="16" customHeight="1">
      <c r="A40" s="7" t="s">
        <v>165</v>
      </c>
      <c r="B40" s="14"/>
      <c r="J40" s="18"/>
      <c r="K40" s="17"/>
      <c r="M40" s="9"/>
      <c r="Q40" s="9"/>
      <c r="R40" s="9"/>
      <c r="U40" s="23"/>
      <c r="V40" s="17"/>
      <c r="W40" s="23"/>
      <c r="Z40" s="23"/>
      <c r="AA40" s="17"/>
      <c r="AB40" s="17"/>
      <c r="AD40" s="9"/>
      <c r="AE40" s="9"/>
      <c r="AF40" s="9"/>
      <c r="AG40" s="9"/>
      <c r="AH40" s="9"/>
      <c r="BJ40"/>
    </row>
    <row r="41" spans="1:62" s="6" customFormat="1" ht="16" customHeight="1">
      <c r="A41" s="6">
        <v>1.1000000000000001</v>
      </c>
      <c r="B41" s="6" t="s">
        <v>157</v>
      </c>
      <c r="C41" s="6" t="s">
        <v>159</v>
      </c>
      <c r="D41" s="6">
        <v>42.4</v>
      </c>
      <c r="E41" s="6">
        <v>500</v>
      </c>
      <c r="F41" s="6">
        <v>0.75</v>
      </c>
      <c r="G41" s="6">
        <v>0.9</v>
      </c>
      <c r="H41" s="16">
        <f t="shared" ref="H41:H58" si="48">((-4800+(0.4748*(E41-1000)))/(LOG(K41)-5.711-LOG(F41)+LOG(G41)))</f>
        <v>1087.9244727711614</v>
      </c>
      <c r="I41" s="17">
        <f t="shared" ref="I41:I59" si="49">H41-273</f>
        <v>814.92447277116139</v>
      </c>
      <c r="J41" s="9">
        <v>362.09563695831002</v>
      </c>
      <c r="K41" s="19">
        <v>10.035386227925054</v>
      </c>
      <c r="M41" s="9">
        <v>1792.6107039059141</v>
      </c>
      <c r="O41" s="18">
        <v>8695.0310033831993</v>
      </c>
      <c r="Q41" s="9">
        <v>399.74825653447624</v>
      </c>
      <c r="R41" s="9">
        <v>405.55201535724888</v>
      </c>
      <c r="S41" s="20">
        <f t="shared" ref="S41:S59" si="50">Q41*EXP(0.0000000000495*1000000*D41)</f>
        <v>400.58812922939632</v>
      </c>
      <c r="T41" s="20">
        <f t="shared" ref="T41:T59" si="51">R41*(EXP(D41*0.000000000155125*1000000)+0.0072*EXP(D41*0.00000000098485*1000000))</f>
        <v>411.2727315035109</v>
      </c>
      <c r="U41" s="21">
        <v>2.6451760298833459E-2</v>
      </c>
      <c r="V41" s="19">
        <v>91.576246176825762</v>
      </c>
      <c r="W41" s="21">
        <v>0.1066501819981799</v>
      </c>
      <c r="X41" s="22">
        <v>2.7432206411228433</v>
      </c>
      <c r="Y41" s="22">
        <v>8.459533555037698</v>
      </c>
      <c r="Z41" s="21">
        <v>5.899322112452877</v>
      </c>
      <c r="AA41" s="19">
        <v>67.133618283946419</v>
      </c>
      <c r="AB41" s="19">
        <v>72.054952326738729</v>
      </c>
      <c r="AC41" s="22">
        <v>22.271211867892905</v>
      </c>
      <c r="AD41" s="18">
        <v>213.68140103536547</v>
      </c>
      <c r="AE41" s="18">
        <v>270.43516147210369</v>
      </c>
      <c r="AF41" s="18">
        <v>53.596544954759189</v>
      </c>
      <c r="AG41" s="18">
        <v>431.92588408786366</v>
      </c>
      <c r="AH41" s="18">
        <v>78.166671470880985</v>
      </c>
      <c r="AI41" s="29">
        <f t="shared" ref="AI41:AI59" si="52">U41/0.237</f>
        <v>0.11161080294866439</v>
      </c>
      <c r="AJ41" s="23">
        <f t="shared" ref="AJ41:AJ59" si="53">V41/0.613</f>
        <v>149.39028740102083</v>
      </c>
      <c r="AK41" s="23">
        <f t="shared" ref="AK41:AK59" si="54">W41/0.0928</f>
        <v>1.1492476508424558</v>
      </c>
      <c r="AL41" s="23">
        <f t="shared" ref="AL41:AL59" si="55">X41/0.457</f>
        <v>6.0026709871397008</v>
      </c>
      <c r="AM41" s="23">
        <f t="shared" ref="AM41:AM59" si="56">Y41/0.148</f>
        <v>57.159010507011473</v>
      </c>
      <c r="AN41" s="23">
        <f t="shared" ref="AN41:AN59" si="57">Z41/0.0563</f>
        <v>104.7836964911701</v>
      </c>
      <c r="AO41" s="23">
        <f t="shared" ref="AO41:AO59" si="58">AA41/0.199</f>
        <v>337.35486574847442</v>
      </c>
      <c r="AP41" s="23">
        <f t="shared" ref="AP41:AP59" si="59">AB41/0.0361</f>
        <v>1995.9820589124301</v>
      </c>
      <c r="AQ41" s="23">
        <f t="shared" ref="AQ41:AQ59" si="60">AC41/0.246</f>
        <v>90.533381576800423</v>
      </c>
      <c r="AR41" s="23">
        <f t="shared" ref="AR41:AR59" si="61">AD41/0.0546</f>
        <v>3913.578773541492</v>
      </c>
      <c r="AS41" s="23">
        <f t="shared" ref="AS41:AS59" si="62">AE41/0.16</f>
        <v>1690.219759200648</v>
      </c>
      <c r="AT41" s="23">
        <f t="shared" ref="AT41:AT59" si="63">AF41/0.0247</f>
        <v>2169.9006054558376</v>
      </c>
      <c r="AU41" s="23">
        <f t="shared" ref="AU41:AU59" si="64">AG41/0.161</f>
        <v>2682.7694663842462</v>
      </c>
      <c r="AV41" s="24">
        <f t="shared" ref="AV41:AV59" si="65">AH41/0.0246</f>
        <v>3177.5069703610156</v>
      </c>
      <c r="AW41" s="23">
        <f t="shared" ref="AW41:AW59" si="66">AN41/10^(((0.5)*LOG(AO41))+((0.5)*LOG(AM41)))</f>
        <v>0.7545844910236722</v>
      </c>
      <c r="AX41" s="25">
        <f t="shared" ref="AX41:AX59" si="67">(AW41/AU41)*(10^4)</f>
        <v>2.8127071687627256</v>
      </c>
      <c r="AY41" s="26">
        <f t="shared" ref="AY41:AY59" si="68">V41/T41</f>
        <v>0.22266549460268314</v>
      </c>
      <c r="AZ41" s="23">
        <f t="shared" ref="AZ41:AZ59" si="69">T41/K41</f>
        <v>40.982252417857055</v>
      </c>
      <c r="BA41" s="25">
        <f t="shared" ref="BA41:BA59" si="70">AY41*(AZ41^0.5)</f>
        <v>1.4254462102113798</v>
      </c>
      <c r="BB41" s="27">
        <f t="shared" ref="BB41:BB59" si="71">((3.998*LOG(BA41))+2.284)</f>
        <v>2.8994954330404514</v>
      </c>
      <c r="BC41" s="28">
        <f t="shared" ref="BC41:BC59" si="72">((-587474)+(1584.427*H41)-(203.3164*H41*LN(H41))+(0.09271*(H41^2)))/(8.314511*H41*LN(10))</f>
        <v>-14.432090749513835</v>
      </c>
      <c r="BD41" s="27">
        <f t="shared" ref="BD41:BD59" si="73">((3.998*LOG(BA41))+2.284)+BC41</f>
        <v>-11.532595316473383</v>
      </c>
      <c r="BE41" s="24">
        <f t="shared" ref="BE41:BE59" si="74">1000*(AJ41/AL41)/M41</f>
        <v>13.883272165683888</v>
      </c>
      <c r="BG41" s="29">
        <f t="shared" ref="BG41:BG59" si="75">AQ41/AU41</f>
        <v>3.3746239738898814E-2</v>
      </c>
      <c r="BJ41"/>
    </row>
    <row r="42" spans="1:62" s="6" customFormat="1" ht="16" customHeight="1">
      <c r="A42" s="6">
        <v>1.2</v>
      </c>
      <c r="B42" s="6" t="s">
        <v>157</v>
      </c>
      <c r="C42" s="6" t="s">
        <v>158</v>
      </c>
      <c r="D42" s="6">
        <v>42.4</v>
      </c>
      <c r="E42" s="6">
        <v>500</v>
      </c>
      <c r="F42" s="6">
        <v>0.75</v>
      </c>
      <c r="G42" s="6">
        <v>0.9</v>
      </c>
      <c r="H42" s="16">
        <f t="shared" si="48"/>
        <v>1048.8878501675429</v>
      </c>
      <c r="I42" s="17">
        <f t="shared" si="49"/>
        <v>775.88785016754287</v>
      </c>
      <c r="J42" s="9">
        <v>118.34834115587934</v>
      </c>
      <c r="K42" s="19">
        <v>6.7485126405463198</v>
      </c>
      <c r="M42" s="9">
        <v>229.97592528444383</v>
      </c>
      <c r="O42" s="18">
        <v>9671.4979803398492</v>
      </c>
      <c r="Q42" s="9">
        <v>143.91835517563362</v>
      </c>
      <c r="R42" s="9">
        <v>119.19598275007468</v>
      </c>
      <c r="S42" s="20">
        <f t="shared" si="50"/>
        <v>144.22072821875255</v>
      </c>
      <c r="T42" s="20">
        <f t="shared" si="51"/>
        <v>120.87736111158338</v>
      </c>
      <c r="U42" s="21">
        <v>1.9118006954244968E-2</v>
      </c>
      <c r="V42" s="19">
        <v>23.758599712884248</v>
      </c>
      <c r="W42" s="21">
        <v>1.7788017171445954E-2</v>
      </c>
      <c r="X42" s="22">
        <v>0.27036305833814767</v>
      </c>
      <c r="Y42" s="22">
        <v>0.83456926148516219</v>
      </c>
      <c r="Z42" s="21">
        <v>0.39685528174086032</v>
      </c>
      <c r="AA42" s="19">
        <v>8.4006927762313222</v>
      </c>
      <c r="AB42" s="19">
        <v>6.8177675355420009</v>
      </c>
      <c r="AC42" s="22">
        <v>2.105485370378553</v>
      </c>
      <c r="AD42" s="18">
        <v>20.399539519356637</v>
      </c>
      <c r="AE42" s="18">
        <v>30.722956598784684</v>
      </c>
      <c r="AF42" s="18">
        <v>6.884655031409264</v>
      </c>
      <c r="AG42" s="18">
        <v>60.617461723669656</v>
      </c>
      <c r="AH42" s="18">
        <v>11.948750287015134</v>
      </c>
      <c r="AI42" s="29">
        <f t="shared" si="52"/>
        <v>8.0666696009472447E-2</v>
      </c>
      <c r="AJ42" s="23">
        <f t="shared" si="53"/>
        <v>38.757911440267939</v>
      </c>
      <c r="AK42" s="23">
        <f t="shared" si="54"/>
        <v>0.19168121951989175</v>
      </c>
      <c r="AL42" s="23">
        <f t="shared" si="55"/>
        <v>0.59160406638544349</v>
      </c>
      <c r="AM42" s="23">
        <f t="shared" si="56"/>
        <v>5.6389814965213665</v>
      </c>
      <c r="AN42" s="23">
        <f t="shared" si="57"/>
        <v>7.0489392849175898</v>
      </c>
      <c r="AO42" s="23">
        <f t="shared" si="58"/>
        <v>42.214536563976488</v>
      </c>
      <c r="AP42" s="23">
        <f t="shared" si="59"/>
        <v>188.8578264693075</v>
      </c>
      <c r="AQ42" s="23">
        <f t="shared" si="60"/>
        <v>8.5588836194250124</v>
      </c>
      <c r="AR42" s="23">
        <f t="shared" si="61"/>
        <v>373.61793991495671</v>
      </c>
      <c r="AS42" s="23">
        <f t="shared" si="62"/>
        <v>192.01847874240428</v>
      </c>
      <c r="AT42" s="23">
        <f t="shared" si="63"/>
        <v>278.73097293154916</v>
      </c>
      <c r="AU42" s="23">
        <f t="shared" si="64"/>
        <v>376.50597343894196</v>
      </c>
      <c r="AV42" s="24">
        <f t="shared" si="65"/>
        <v>485.72155638272903</v>
      </c>
      <c r="AW42" s="23">
        <f t="shared" si="66"/>
        <v>0.45686976934547374</v>
      </c>
      <c r="AX42" s="25">
        <f t="shared" si="67"/>
        <v>12.134462706461266</v>
      </c>
      <c r="AY42" s="26">
        <f t="shared" si="68"/>
        <v>0.19655127721519658</v>
      </c>
      <c r="AZ42" s="23">
        <f t="shared" si="69"/>
        <v>17.911704037617074</v>
      </c>
      <c r="BA42" s="25">
        <f t="shared" si="70"/>
        <v>0.83184866232238519</v>
      </c>
      <c r="BB42" s="27">
        <f t="shared" si="71"/>
        <v>1.96433720163029</v>
      </c>
      <c r="BC42" s="28">
        <f t="shared" si="72"/>
        <v>-15.282800270026403</v>
      </c>
      <c r="BD42" s="27">
        <f t="shared" si="73"/>
        <v>-13.318463068396113</v>
      </c>
      <c r="BE42" s="24">
        <f t="shared" si="74"/>
        <v>284.87008208557609</v>
      </c>
      <c r="BG42" s="29">
        <f t="shared" si="75"/>
        <v>2.2732397951749916E-2</v>
      </c>
      <c r="BJ42"/>
    </row>
    <row r="43" spans="1:62" s="6" customFormat="1" ht="16" customHeight="1">
      <c r="A43" s="6">
        <v>13.1</v>
      </c>
      <c r="B43" s="6" t="s">
        <v>157</v>
      </c>
      <c r="C43" s="6" t="s">
        <v>159</v>
      </c>
      <c r="D43" s="6">
        <v>42.4</v>
      </c>
      <c r="E43" s="6">
        <v>500</v>
      </c>
      <c r="F43" s="6">
        <v>0.75</v>
      </c>
      <c r="G43" s="6">
        <v>0.9</v>
      </c>
      <c r="H43" s="16">
        <f t="shared" si="48"/>
        <v>1106.5528758047285</v>
      </c>
      <c r="I43" s="17">
        <f t="shared" si="49"/>
        <v>833.5528758047285</v>
      </c>
      <c r="J43" s="9">
        <v>436.23180759973695</v>
      </c>
      <c r="K43" s="19">
        <v>12.008346168514519</v>
      </c>
      <c r="M43" s="9">
        <v>2836.4370552057185</v>
      </c>
      <c r="O43" s="18">
        <v>9192.2859791084029</v>
      </c>
      <c r="Q43" s="9">
        <v>616.50826002276813</v>
      </c>
      <c r="R43" s="9">
        <v>601.55614960324272</v>
      </c>
      <c r="S43" s="20">
        <f t="shared" si="50"/>
        <v>617.80354635690912</v>
      </c>
      <c r="T43" s="20">
        <f t="shared" si="51"/>
        <v>610.0416997857194</v>
      </c>
      <c r="U43" s="21">
        <v>3.728554360880261E-2</v>
      </c>
      <c r="V43" s="19">
        <v>120.78224685778525</v>
      </c>
      <c r="W43" s="21">
        <v>0.21682303611308604</v>
      </c>
      <c r="X43" s="22">
        <v>3.9461310653396464</v>
      </c>
      <c r="Y43" s="22">
        <v>10.385096176263854</v>
      </c>
      <c r="Z43" s="21">
        <v>7.5287195781567773</v>
      </c>
      <c r="AA43" s="19">
        <v>103.96906815066983</v>
      </c>
      <c r="AB43" s="19">
        <v>80.642913273432072</v>
      </c>
      <c r="AC43" s="22">
        <v>26.63605909879216</v>
      </c>
      <c r="AD43" s="18">
        <v>291.62117968624767</v>
      </c>
      <c r="AE43" s="18">
        <v>459.26510199572493</v>
      </c>
      <c r="AF43" s="18">
        <v>97.982053617928941</v>
      </c>
      <c r="AG43" s="18">
        <v>777.29943007861584</v>
      </c>
      <c r="AH43" s="18">
        <v>145.38757328330539</v>
      </c>
      <c r="AI43" s="29">
        <f t="shared" si="52"/>
        <v>0.15732296881351313</v>
      </c>
      <c r="AJ43" s="23">
        <f t="shared" si="53"/>
        <v>197.03466045315702</v>
      </c>
      <c r="AK43" s="23">
        <f t="shared" si="54"/>
        <v>2.3364551305289445</v>
      </c>
      <c r="AL43" s="23">
        <f t="shared" si="55"/>
        <v>8.6348600992114797</v>
      </c>
      <c r="AM43" s="23">
        <f t="shared" si="56"/>
        <v>70.169568758539555</v>
      </c>
      <c r="AN43" s="23">
        <f t="shared" si="57"/>
        <v>133.72503691219853</v>
      </c>
      <c r="AO43" s="23">
        <f t="shared" si="58"/>
        <v>522.45762889783828</v>
      </c>
      <c r="AP43" s="23">
        <f t="shared" si="59"/>
        <v>2233.875713945487</v>
      </c>
      <c r="AQ43" s="23">
        <f t="shared" si="60"/>
        <v>108.27666300322016</v>
      </c>
      <c r="AR43" s="23">
        <f t="shared" si="61"/>
        <v>5341.0472470008726</v>
      </c>
      <c r="AS43" s="23">
        <f t="shared" si="62"/>
        <v>2870.4068874732807</v>
      </c>
      <c r="AT43" s="23">
        <f t="shared" si="63"/>
        <v>3966.8847618594714</v>
      </c>
      <c r="AU43" s="23">
        <f t="shared" si="64"/>
        <v>4827.9467706746327</v>
      </c>
      <c r="AV43" s="24">
        <f t="shared" si="65"/>
        <v>5910.0639546059101</v>
      </c>
      <c r="AW43" s="23">
        <f t="shared" si="66"/>
        <v>0.69841375676432993</v>
      </c>
      <c r="AX43" s="25">
        <f t="shared" si="67"/>
        <v>1.4466061660135849</v>
      </c>
      <c r="AY43" s="26">
        <f t="shared" si="68"/>
        <v>0.19799014870657317</v>
      </c>
      <c r="AZ43" s="23">
        <f t="shared" si="69"/>
        <v>50.801475176092801</v>
      </c>
      <c r="BA43" s="25">
        <f t="shared" si="70"/>
        <v>1.4111778256050109</v>
      </c>
      <c r="BB43" s="27">
        <f t="shared" si="71"/>
        <v>2.8820278109147841</v>
      </c>
      <c r="BC43" s="28">
        <f t="shared" si="72"/>
        <v>-14.047352526556098</v>
      </c>
      <c r="BD43" s="27">
        <f t="shared" si="73"/>
        <v>-11.165324715641315</v>
      </c>
      <c r="BE43" s="24">
        <f t="shared" si="74"/>
        <v>8.0447800350367284</v>
      </c>
      <c r="BG43" s="29">
        <f t="shared" si="75"/>
        <v>2.2427062299216306E-2</v>
      </c>
      <c r="BJ43"/>
    </row>
    <row r="44" spans="1:62" s="6" customFormat="1" ht="16" customHeight="1">
      <c r="A44" s="6">
        <v>13.2</v>
      </c>
      <c r="B44" s="6" t="s">
        <v>157</v>
      </c>
      <c r="C44" s="6" t="s">
        <v>158</v>
      </c>
      <c r="D44" s="6">
        <v>42.4</v>
      </c>
      <c r="E44" s="6">
        <v>500</v>
      </c>
      <c r="F44" s="6">
        <v>0.75</v>
      </c>
      <c r="G44" s="6">
        <v>0.9</v>
      </c>
      <c r="H44" s="16">
        <f t="shared" si="48"/>
        <v>1063.2193282803814</v>
      </c>
      <c r="I44" s="17">
        <f t="shared" si="49"/>
        <v>790.21932828038143</v>
      </c>
      <c r="J44" s="9">
        <v>178.43559442032921</v>
      </c>
      <c r="K44" s="19">
        <v>7.8332865281533444</v>
      </c>
      <c r="M44" s="9">
        <v>781.4228945932</v>
      </c>
      <c r="O44" s="18">
        <v>10617.806511576033</v>
      </c>
      <c r="Q44" s="9">
        <v>634.88620627005321</v>
      </c>
      <c r="R44" s="9">
        <v>448.80134857664046</v>
      </c>
      <c r="S44" s="20">
        <f t="shared" si="50"/>
        <v>636.2201047431829</v>
      </c>
      <c r="T44" s="20">
        <f t="shared" si="51"/>
        <v>455.13213975518977</v>
      </c>
      <c r="U44" s="21">
        <v>9.2390903999269598E-3</v>
      </c>
      <c r="V44" s="19">
        <v>72.797139718905981</v>
      </c>
      <c r="W44" s="21">
        <v>8.5963510252804368E-2</v>
      </c>
      <c r="X44" s="22">
        <v>0.70807871509615405</v>
      </c>
      <c r="Y44" s="22">
        <v>2.2796307284291117</v>
      </c>
      <c r="Z44" s="21">
        <v>0.8368879566998616</v>
      </c>
      <c r="AA44" s="19">
        <v>26.897490157874966</v>
      </c>
      <c r="AB44" s="19">
        <v>19.212523253059722</v>
      </c>
      <c r="AC44" s="22">
        <v>6.7186751169671393</v>
      </c>
      <c r="AD44" s="18">
        <v>68.608277356671479</v>
      </c>
      <c r="AE44" s="18">
        <v>108.14868284347638</v>
      </c>
      <c r="AF44" s="18">
        <v>23.349680954473971</v>
      </c>
      <c r="AG44" s="18">
        <v>215.82515821435547</v>
      </c>
      <c r="AH44" s="18">
        <v>42.106187901746651</v>
      </c>
      <c r="AI44" s="29">
        <f t="shared" si="52"/>
        <v>3.8983503797160167E-2</v>
      </c>
      <c r="AJ44" s="23">
        <f t="shared" si="53"/>
        <v>118.75552972089068</v>
      </c>
      <c r="AK44" s="23">
        <f t="shared" si="54"/>
        <v>0.92633092944832296</v>
      </c>
      <c r="AL44" s="23">
        <f t="shared" si="55"/>
        <v>1.5494063787662014</v>
      </c>
      <c r="AM44" s="23">
        <f t="shared" si="56"/>
        <v>15.402910327223729</v>
      </c>
      <c r="AN44" s="23">
        <f t="shared" si="57"/>
        <v>14.86479496802596</v>
      </c>
      <c r="AO44" s="23">
        <f t="shared" si="58"/>
        <v>135.16326712499983</v>
      </c>
      <c r="AP44" s="23">
        <f t="shared" si="59"/>
        <v>532.20286019556011</v>
      </c>
      <c r="AQ44" s="23">
        <f t="shared" si="60"/>
        <v>27.311687467346093</v>
      </c>
      <c r="AR44" s="23">
        <f t="shared" si="61"/>
        <v>1256.5618563492944</v>
      </c>
      <c r="AS44" s="23">
        <f t="shared" si="62"/>
        <v>675.92926777172738</v>
      </c>
      <c r="AT44" s="23">
        <f t="shared" si="63"/>
        <v>945.3312127317397</v>
      </c>
      <c r="AU44" s="23">
        <f t="shared" si="64"/>
        <v>1340.528933008419</v>
      </c>
      <c r="AV44" s="24">
        <f t="shared" si="65"/>
        <v>1711.6336545425468</v>
      </c>
      <c r="AW44" s="23">
        <f t="shared" si="66"/>
        <v>0.32578282831413646</v>
      </c>
      <c r="AX44" s="25">
        <f t="shared" si="67"/>
        <v>2.4302558511960921</v>
      </c>
      <c r="AY44" s="26">
        <f t="shared" si="68"/>
        <v>0.15994726225676506</v>
      </c>
      <c r="AZ44" s="23">
        <f t="shared" si="69"/>
        <v>58.102322456789381</v>
      </c>
      <c r="BA44" s="25">
        <f t="shared" si="70"/>
        <v>1.2191960782318172</v>
      </c>
      <c r="BB44" s="27">
        <f t="shared" si="71"/>
        <v>2.6281220809251011</v>
      </c>
      <c r="BC44" s="28">
        <f t="shared" si="72"/>
        <v>-14.963177760337789</v>
      </c>
      <c r="BD44" s="27">
        <f t="shared" si="73"/>
        <v>-12.335055679412688</v>
      </c>
      <c r="BE44" s="24">
        <f t="shared" si="74"/>
        <v>98.084948939179796</v>
      </c>
      <c r="BG44" s="29">
        <f t="shared" si="75"/>
        <v>2.0373814242153745E-2</v>
      </c>
      <c r="BJ44"/>
    </row>
    <row r="45" spans="1:62" s="6" customFormat="1" ht="16" customHeight="1">
      <c r="A45" s="6">
        <v>2.1</v>
      </c>
      <c r="B45" s="6" t="s">
        <v>157</v>
      </c>
      <c r="C45" s="6" t="s">
        <v>159</v>
      </c>
      <c r="D45" s="6">
        <v>42.4</v>
      </c>
      <c r="E45" s="6">
        <v>500</v>
      </c>
      <c r="F45" s="6">
        <v>0.75</v>
      </c>
      <c r="G45" s="6">
        <v>0.9</v>
      </c>
      <c r="H45" s="16">
        <f t="shared" si="48"/>
        <v>1034.7932950245222</v>
      </c>
      <c r="I45" s="17">
        <f t="shared" si="49"/>
        <v>761.79329502452219</v>
      </c>
      <c r="J45" s="9">
        <v>114.78836339623386</v>
      </c>
      <c r="K45" s="19">
        <v>5.8048820060884774</v>
      </c>
      <c r="M45" s="9">
        <v>487.62470869799552</v>
      </c>
      <c r="O45" s="18">
        <v>10536.836225937412</v>
      </c>
      <c r="Q45" s="9">
        <v>60.206802108302476</v>
      </c>
      <c r="R45" s="9">
        <v>127.00022024809391</v>
      </c>
      <c r="S45" s="20">
        <f t="shared" si="50"/>
        <v>60.333296841706918</v>
      </c>
      <c r="T45" s="20">
        <f t="shared" si="51"/>
        <v>128.79168517254288</v>
      </c>
      <c r="U45" s="21">
        <v>1.1970006573224669E-2</v>
      </c>
      <c r="V45" s="19">
        <v>24.307007870222598</v>
      </c>
      <c r="W45" s="21">
        <v>4.1764816864101245E-2</v>
      </c>
      <c r="X45" s="22">
        <v>0.483259834730494</v>
      </c>
      <c r="Y45" s="22">
        <v>1.2949743855821367</v>
      </c>
      <c r="Z45" s="21">
        <v>0.86555794470227831</v>
      </c>
      <c r="AA45" s="19">
        <v>17.385173877401076</v>
      </c>
      <c r="AB45" s="19">
        <v>13.138675409952386</v>
      </c>
      <c r="AC45" s="22">
        <v>4.6038779784809378</v>
      </c>
      <c r="AD45" s="18">
        <v>50.13049860690078</v>
      </c>
      <c r="AE45" s="18">
        <v>85.495017428127952</v>
      </c>
      <c r="AF45" s="18">
        <v>19.701596333583826</v>
      </c>
      <c r="AG45" s="18">
        <v>180.31285777424134</v>
      </c>
      <c r="AH45" s="18">
        <v>36.795419993055511</v>
      </c>
      <c r="AI45" s="29">
        <f t="shared" si="52"/>
        <v>5.0506356849049243E-2</v>
      </c>
      <c r="AJ45" s="23">
        <f t="shared" si="53"/>
        <v>39.652541386986293</v>
      </c>
      <c r="AK45" s="23">
        <f t="shared" si="54"/>
        <v>0.45005190586316002</v>
      </c>
      <c r="AL45" s="23">
        <f t="shared" si="55"/>
        <v>1.0574613451433128</v>
      </c>
      <c r="AM45" s="23">
        <f t="shared" si="56"/>
        <v>8.7498269296090321</v>
      </c>
      <c r="AN45" s="23">
        <f t="shared" si="57"/>
        <v>15.374030989383273</v>
      </c>
      <c r="AO45" s="23">
        <f t="shared" si="58"/>
        <v>87.362682801010422</v>
      </c>
      <c r="AP45" s="23">
        <f t="shared" si="59"/>
        <v>363.95222742250377</v>
      </c>
      <c r="AQ45" s="23">
        <f t="shared" si="60"/>
        <v>18.714951132036333</v>
      </c>
      <c r="AR45" s="23">
        <f t="shared" si="61"/>
        <v>918.14100012638789</v>
      </c>
      <c r="AS45" s="23">
        <f t="shared" si="62"/>
        <v>534.34385892579974</v>
      </c>
      <c r="AT45" s="23">
        <f t="shared" si="63"/>
        <v>797.63547909246256</v>
      </c>
      <c r="AU45" s="23">
        <f t="shared" si="64"/>
        <v>1119.955638349325</v>
      </c>
      <c r="AV45" s="24">
        <f t="shared" si="65"/>
        <v>1495.7487802055086</v>
      </c>
      <c r="AW45" s="23">
        <f t="shared" si="66"/>
        <v>0.55606433313572223</v>
      </c>
      <c r="AX45" s="25">
        <f t="shared" si="67"/>
        <v>4.965056776313852</v>
      </c>
      <c r="AY45" s="26">
        <f t="shared" si="68"/>
        <v>0.18873118895570296</v>
      </c>
      <c r="AZ45" s="23">
        <f t="shared" si="69"/>
        <v>22.186787782673125</v>
      </c>
      <c r="BA45" s="25">
        <f t="shared" si="70"/>
        <v>0.88897774850106037</v>
      </c>
      <c r="BB45" s="27">
        <f t="shared" si="71"/>
        <v>2.0796657803263661</v>
      </c>
      <c r="BC45" s="28">
        <f t="shared" si="72"/>
        <v>-15.605858908037492</v>
      </c>
      <c r="BD45" s="27">
        <f t="shared" si="73"/>
        <v>-13.526193127711126</v>
      </c>
      <c r="BE45" s="24">
        <f t="shared" si="74"/>
        <v>76.899023019101421</v>
      </c>
      <c r="BG45" s="29">
        <f t="shared" si="75"/>
        <v>1.671043967386051E-2</v>
      </c>
      <c r="BJ45"/>
    </row>
    <row r="46" spans="1:62" s="6" customFormat="1" ht="16" customHeight="1">
      <c r="A46" s="6">
        <v>2.2000000000000002</v>
      </c>
      <c r="B46" s="6" t="s">
        <v>157</v>
      </c>
      <c r="C46" s="6" t="s">
        <v>166</v>
      </c>
      <c r="D46" s="6">
        <v>42.4</v>
      </c>
      <c r="E46" s="6">
        <v>500</v>
      </c>
      <c r="F46" s="6">
        <v>0.75</v>
      </c>
      <c r="G46" s="6">
        <v>0.9</v>
      </c>
      <c r="H46" s="16">
        <f t="shared" si="48"/>
        <v>1041.7883939116512</v>
      </c>
      <c r="I46" s="17">
        <f t="shared" si="49"/>
        <v>768.78839391165116</v>
      </c>
      <c r="J46" s="9">
        <v>109.05153121239613</v>
      </c>
      <c r="K46" s="19">
        <v>6.2586375688394922</v>
      </c>
      <c r="M46" s="9">
        <v>253.02537792728572</v>
      </c>
      <c r="O46" s="18">
        <v>10135.091676986569</v>
      </c>
      <c r="Q46" s="9">
        <v>35.552846244437127</v>
      </c>
      <c r="R46" s="9">
        <v>63.567588507875975</v>
      </c>
      <c r="S46" s="20">
        <f t="shared" si="50"/>
        <v>35.6275429174039</v>
      </c>
      <c r="T46" s="20">
        <f t="shared" si="51"/>
        <v>64.464272820085867</v>
      </c>
      <c r="U46" s="21">
        <v>8.9487478081477639E-3</v>
      </c>
      <c r="V46" s="19">
        <v>15.869211055467504</v>
      </c>
      <c r="W46" s="21">
        <v>1.665241361772047E-2</v>
      </c>
      <c r="X46" s="22">
        <v>0.22860900714363569</v>
      </c>
      <c r="Y46" s="22">
        <v>0.73882819350262219</v>
      </c>
      <c r="Z46" s="21">
        <v>0.46056157636189643</v>
      </c>
      <c r="AA46" s="19">
        <v>8.6589427844746201</v>
      </c>
      <c r="AB46" s="19">
        <v>6.4654047217265767</v>
      </c>
      <c r="AC46" s="22">
        <v>2.3284195637979415</v>
      </c>
      <c r="AD46" s="18">
        <v>22.741205305620902</v>
      </c>
      <c r="AE46" s="18">
        <v>38.378938103041747</v>
      </c>
      <c r="AF46" s="18">
        <v>8.2012747901299061</v>
      </c>
      <c r="AG46" s="18">
        <v>74.643306337821741</v>
      </c>
      <c r="AH46" s="18">
        <v>15.761582589487512</v>
      </c>
      <c r="AI46" s="29">
        <f t="shared" si="52"/>
        <v>3.775842957024373E-2</v>
      </c>
      <c r="AJ46" s="23">
        <f t="shared" si="53"/>
        <v>25.887783124743073</v>
      </c>
      <c r="AK46" s="23">
        <f t="shared" si="54"/>
        <v>0.17944411225991888</v>
      </c>
      <c r="AL46" s="23">
        <f t="shared" si="55"/>
        <v>0.50023852766659882</v>
      </c>
      <c r="AM46" s="23">
        <f t="shared" si="56"/>
        <v>4.9920823885312311</v>
      </c>
      <c r="AN46" s="23">
        <f t="shared" si="57"/>
        <v>8.1804898110461171</v>
      </c>
      <c r="AO46" s="23">
        <f t="shared" si="58"/>
        <v>43.512275298867436</v>
      </c>
      <c r="AP46" s="23">
        <f t="shared" si="59"/>
        <v>179.09708370433731</v>
      </c>
      <c r="AQ46" s="23">
        <f t="shared" si="60"/>
        <v>9.4651201780404133</v>
      </c>
      <c r="AR46" s="23">
        <f t="shared" si="61"/>
        <v>416.50559167803846</v>
      </c>
      <c r="AS46" s="23">
        <f t="shared" si="62"/>
        <v>239.86836314401091</v>
      </c>
      <c r="AT46" s="23">
        <f t="shared" si="63"/>
        <v>332.03541660444967</v>
      </c>
      <c r="AU46" s="23">
        <f t="shared" si="64"/>
        <v>463.62302073181206</v>
      </c>
      <c r="AV46" s="24">
        <f t="shared" si="65"/>
        <v>640.7147394100615</v>
      </c>
      <c r="AW46" s="23">
        <f t="shared" si="66"/>
        <v>0.55505055231506062</v>
      </c>
      <c r="AX46" s="25">
        <f t="shared" si="67"/>
        <v>11.97202311996789</v>
      </c>
      <c r="AY46" s="26">
        <f t="shared" si="68"/>
        <v>0.24617063624927688</v>
      </c>
      <c r="AZ46" s="23">
        <f t="shared" si="69"/>
        <v>10.300048870227064</v>
      </c>
      <c r="BA46" s="25">
        <f t="shared" si="70"/>
        <v>0.79005238920848653</v>
      </c>
      <c r="BB46" s="27">
        <f t="shared" si="71"/>
        <v>1.8748282513031311</v>
      </c>
      <c r="BC46" s="28">
        <f t="shared" si="72"/>
        <v>-15.444420825264555</v>
      </c>
      <c r="BD46" s="27">
        <f t="shared" si="73"/>
        <v>-13.569592573961422</v>
      </c>
      <c r="BE46" s="24">
        <f t="shared" si="74"/>
        <v>204.52840992063329</v>
      </c>
      <c r="BG46" s="29">
        <f t="shared" si="75"/>
        <v>2.0415552625277462E-2</v>
      </c>
      <c r="BJ46"/>
    </row>
    <row r="47" spans="1:62" s="6" customFormat="1" ht="16" customHeight="1">
      <c r="A47" s="6">
        <v>2.2999999999999998</v>
      </c>
      <c r="B47" s="6" t="s">
        <v>157</v>
      </c>
      <c r="C47" s="6" t="s">
        <v>158</v>
      </c>
      <c r="D47" s="6">
        <v>42.4</v>
      </c>
      <c r="E47" s="6">
        <v>500</v>
      </c>
      <c r="F47" s="6">
        <v>0.75</v>
      </c>
      <c r="G47" s="6">
        <v>0.9</v>
      </c>
      <c r="H47" s="16">
        <f t="shared" si="48"/>
        <v>1061.4647849581563</v>
      </c>
      <c r="I47" s="17">
        <f t="shared" si="49"/>
        <v>788.46478495815632</v>
      </c>
      <c r="J47" s="9">
        <v>106.61708698742801</v>
      </c>
      <c r="K47" s="19">
        <v>7.6932981630367809</v>
      </c>
      <c r="M47" s="9">
        <v>153.29261926768345</v>
      </c>
      <c r="O47" s="18">
        <v>9354.4741272068895</v>
      </c>
      <c r="Q47" s="9">
        <v>16.659879986490633</v>
      </c>
      <c r="R47" s="9">
        <v>31.994362525315569</v>
      </c>
      <c r="S47" s="20">
        <f t="shared" si="50"/>
        <v>16.694882461354691</v>
      </c>
      <c r="T47" s="20">
        <f t="shared" si="51"/>
        <v>32.445674957154189</v>
      </c>
      <c r="U47" s="21">
        <v>1.7733936080726143E-2</v>
      </c>
      <c r="V47" s="19">
        <v>9.3589433139871563</v>
      </c>
      <c r="W47" s="21">
        <v>1.6500232491611196E-2</v>
      </c>
      <c r="X47" s="22">
        <v>0.26696979014280153</v>
      </c>
      <c r="Y47" s="22">
        <v>0.69000292773724792</v>
      </c>
      <c r="Z47" s="21">
        <v>0.41984443818405132</v>
      </c>
      <c r="AA47" s="19">
        <v>5.5685447406827926</v>
      </c>
      <c r="AB47" s="19">
        <v>5.3796656825169409</v>
      </c>
      <c r="AC47" s="22">
        <v>1.6399708972832536</v>
      </c>
      <c r="AD47" s="18">
        <v>15.194987392434735</v>
      </c>
      <c r="AE47" s="18">
        <v>23.700361353319771</v>
      </c>
      <c r="AF47" s="18">
        <v>5.3881074175132531</v>
      </c>
      <c r="AG47" s="18">
        <v>45.538284951851502</v>
      </c>
      <c r="AH47" s="18">
        <v>8.9422302929508444</v>
      </c>
      <c r="AI47" s="29">
        <f t="shared" si="52"/>
        <v>7.4826734517831825E-2</v>
      </c>
      <c r="AJ47" s="23">
        <f t="shared" si="53"/>
        <v>15.267444231626683</v>
      </c>
      <c r="AK47" s="23">
        <f t="shared" si="54"/>
        <v>0.17780422943546548</v>
      </c>
      <c r="AL47" s="23">
        <f t="shared" si="55"/>
        <v>0.58417897186608647</v>
      </c>
      <c r="AM47" s="23">
        <f t="shared" si="56"/>
        <v>4.6621819441705945</v>
      </c>
      <c r="AN47" s="23">
        <f t="shared" si="57"/>
        <v>7.4572724366616567</v>
      </c>
      <c r="AO47" s="23">
        <f t="shared" si="58"/>
        <v>27.982636887853229</v>
      </c>
      <c r="AP47" s="23">
        <f t="shared" si="59"/>
        <v>149.02121004202053</v>
      </c>
      <c r="AQ47" s="23">
        <f t="shared" si="60"/>
        <v>6.6665483629400555</v>
      </c>
      <c r="AR47" s="23">
        <f t="shared" si="61"/>
        <v>278.29647238891454</v>
      </c>
      <c r="AS47" s="23">
        <f t="shared" si="62"/>
        <v>148.12725845824858</v>
      </c>
      <c r="AT47" s="23">
        <f t="shared" si="63"/>
        <v>218.1420007090386</v>
      </c>
      <c r="AU47" s="23">
        <f t="shared" si="64"/>
        <v>282.84649038417081</v>
      </c>
      <c r="AV47" s="24">
        <f t="shared" si="65"/>
        <v>363.50529646141644</v>
      </c>
      <c r="AW47" s="23">
        <f t="shared" si="66"/>
        <v>0.6528916013041528</v>
      </c>
      <c r="AX47" s="25">
        <f t="shared" si="67"/>
        <v>23.082895616536565</v>
      </c>
      <c r="AY47" s="26">
        <f t="shared" si="68"/>
        <v>0.28844964163470216</v>
      </c>
      <c r="AZ47" s="23">
        <f t="shared" si="69"/>
        <v>4.2173947076486229</v>
      </c>
      <c r="BA47" s="25">
        <f t="shared" si="70"/>
        <v>0.59236873436589499</v>
      </c>
      <c r="BB47" s="27">
        <f t="shared" si="71"/>
        <v>1.3748233280999931</v>
      </c>
      <c r="BC47" s="28">
        <f t="shared" si="72"/>
        <v>-15.001840497413985</v>
      </c>
      <c r="BD47" s="27">
        <f t="shared" si="73"/>
        <v>-13.627017169313993</v>
      </c>
      <c r="BE47" s="24">
        <f t="shared" si="74"/>
        <v>170.49010463811675</v>
      </c>
      <c r="BG47" s="29">
        <f t="shared" si="75"/>
        <v>2.3569492956710705E-2</v>
      </c>
      <c r="BJ47"/>
    </row>
    <row r="48" spans="1:62" s="6" customFormat="1" ht="16" customHeight="1">
      <c r="A48" s="6">
        <v>3.1</v>
      </c>
      <c r="B48" s="6" t="s">
        <v>157</v>
      </c>
      <c r="C48" s="6" t="s">
        <v>159</v>
      </c>
      <c r="D48" s="6">
        <v>42.4</v>
      </c>
      <c r="E48" s="6">
        <v>500</v>
      </c>
      <c r="F48" s="6">
        <v>0.75</v>
      </c>
      <c r="G48" s="6">
        <v>0.9</v>
      </c>
      <c r="H48" s="16">
        <f t="shared" si="48"/>
        <v>995.71081685885974</v>
      </c>
      <c r="I48" s="17">
        <f t="shared" si="49"/>
        <v>722.71081685885974</v>
      </c>
      <c r="J48" s="9">
        <v>118.68879546048666</v>
      </c>
      <c r="K48" s="19">
        <v>3.7386890850472465</v>
      </c>
      <c r="M48" s="9">
        <v>345.15491892029371</v>
      </c>
      <c r="O48" s="18">
        <v>10770.27495223084</v>
      </c>
      <c r="Q48" s="9">
        <v>43.396973447913503</v>
      </c>
      <c r="R48" s="9">
        <v>110.0477727783686</v>
      </c>
      <c r="S48" s="20">
        <f t="shared" si="50"/>
        <v>43.488150663686874</v>
      </c>
      <c r="T48" s="20">
        <f t="shared" si="51"/>
        <v>111.60010650315313</v>
      </c>
      <c r="U48" s="21">
        <v>1.1944992692907807E-2</v>
      </c>
      <c r="V48" s="19">
        <v>14.947230649763412</v>
      </c>
      <c r="W48" s="21">
        <v>1.6671016150592671E-2</v>
      </c>
      <c r="X48" s="22">
        <v>0.17982201909190132</v>
      </c>
      <c r="Y48" s="22">
        <v>0.77366060336200859</v>
      </c>
      <c r="Z48" s="21">
        <v>0.54406976621378833</v>
      </c>
      <c r="AA48" s="19">
        <v>12.117482301328343</v>
      </c>
      <c r="AB48" s="19">
        <v>8.2152576920965146</v>
      </c>
      <c r="AC48" s="22">
        <v>2.8356357927277664</v>
      </c>
      <c r="AD48" s="18">
        <v>34.453919681898952</v>
      </c>
      <c r="AE48" s="18">
        <v>62.186245609690566</v>
      </c>
      <c r="AF48" s="18">
        <v>14.850180789320463</v>
      </c>
      <c r="AG48" s="18">
        <v>141.24850542301419</v>
      </c>
      <c r="AH48" s="18">
        <v>28.905882713401393</v>
      </c>
      <c r="AI48" s="29">
        <f t="shared" si="52"/>
        <v>5.0400813050243916E-2</v>
      </c>
      <c r="AJ48" s="23">
        <f t="shared" si="53"/>
        <v>24.383736785910951</v>
      </c>
      <c r="AK48" s="23">
        <f t="shared" si="54"/>
        <v>0.17964457058828309</v>
      </c>
      <c r="AL48" s="23">
        <f t="shared" si="55"/>
        <v>0.39348363039803352</v>
      </c>
      <c r="AM48" s="23">
        <f t="shared" si="56"/>
        <v>5.2274365092027608</v>
      </c>
      <c r="AN48" s="23">
        <f t="shared" si="57"/>
        <v>9.6637613892324747</v>
      </c>
      <c r="AO48" s="23">
        <f t="shared" si="58"/>
        <v>60.89187086094644</v>
      </c>
      <c r="AP48" s="23">
        <f t="shared" si="59"/>
        <v>227.5694651550281</v>
      </c>
      <c r="AQ48" s="23">
        <f t="shared" si="60"/>
        <v>11.526974767186042</v>
      </c>
      <c r="AR48" s="23">
        <f t="shared" si="61"/>
        <v>631.02416999814932</v>
      </c>
      <c r="AS48" s="23">
        <f t="shared" si="62"/>
        <v>388.66403506056605</v>
      </c>
      <c r="AT48" s="23">
        <f t="shared" si="63"/>
        <v>601.22189430447224</v>
      </c>
      <c r="AU48" s="23">
        <f t="shared" si="64"/>
        <v>877.31990945971552</v>
      </c>
      <c r="AV48" s="24">
        <f t="shared" si="65"/>
        <v>1175.0358826585932</v>
      </c>
      <c r="AW48" s="23">
        <f t="shared" si="66"/>
        <v>0.54165425101406028</v>
      </c>
      <c r="AX48" s="25">
        <f t="shared" si="67"/>
        <v>6.1739651086640679</v>
      </c>
      <c r="AY48" s="26">
        <f t="shared" si="68"/>
        <v>0.13393563069172426</v>
      </c>
      <c r="AZ48" s="23">
        <f t="shared" si="69"/>
        <v>29.850063475321811</v>
      </c>
      <c r="BA48" s="25">
        <f t="shared" si="70"/>
        <v>0.73176015247928761</v>
      </c>
      <c r="BB48" s="27">
        <f t="shared" si="71"/>
        <v>1.7417462887763604</v>
      </c>
      <c r="BC48" s="28">
        <f t="shared" si="72"/>
        <v>-16.550193436735704</v>
      </c>
      <c r="BD48" s="27">
        <f t="shared" si="73"/>
        <v>-14.808447147959344</v>
      </c>
      <c r="BE48" s="24">
        <f t="shared" si="74"/>
        <v>179.53929889082943</v>
      </c>
      <c r="BG48" s="29">
        <f t="shared" si="75"/>
        <v>1.3138850085238301E-2</v>
      </c>
      <c r="BJ48"/>
    </row>
    <row r="49" spans="1:62" s="6" customFormat="1" ht="16" customHeight="1">
      <c r="A49" s="6">
        <v>3.2</v>
      </c>
      <c r="B49" s="6" t="s">
        <v>157</v>
      </c>
      <c r="C49" s="6" t="s">
        <v>158</v>
      </c>
      <c r="D49" s="6">
        <v>42.4</v>
      </c>
      <c r="E49" s="6">
        <v>500</v>
      </c>
      <c r="F49" s="6">
        <v>0.75</v>
      </c>
      <c r="G49" s="6">
        <v>0.9</v>
      </c>
      <c r="H49" s="16">
        <f t="shared" si="48"/>
        <v>974.75393871637391</v>
      </c>
      <c r="I49" s="17">
        <f t="shared" si="49"/>
        <v>701.75393871637391</v>
      </c>
      <c r="J49" s="9">
        <v>47.446057844655023</v>
      </c>
      <c r="K49" s="19">
        <v>2.9103849346069115</v>
      </c>
      <c r="M49" s="9">
        <v>216.45046845812141</v>
      </c>
      <c r="O49" s="18">
        <v>11139.182130871644</v>
      </c>
      <c r="Q49" s="9">
        <v>38.08762619716402</v>
      </c>
      <c r="R49" s="9">
        <v>94.777763637049887</v>
      </c>
      <c r="S49" s="20">
        <f t="shared" si="50"/>
        <v>38.167648453007331</v>
      </c>
      <c r="T49" s="20">
        <f t="shared" si="51"/>
        <v>96.114698634814502</v>
      </c>
      <c r="U49" s="21">
        <v>2.9554555054475558E-3</v>
      </c>
      <c r="V49" s="19">
        <v>14.633255549510004</v>
      </c>
      <c r="W49" s="33"/>
      <c r="X49" s="22">
        <v>0.24268334476925782</v>
      </c>
      <c r="Y49" s="22">
        <v>0.6226433267235183</v>
      </c>
      <c r="Z49" s="21">
        <v>0.44111096874686861</v>
      </c>
      <c r="AA49" s="19">
        <v>6.930040634626617</v>
      </c>
      <c r="AB49" s="19">
        <v>5.2766423217964267</v>
      </c>
      <c r="AC49" s="22">
        <v>1.71067176468732</v>
      </c>
      <c r="AD49" s="18">
        <v>18.252805928689508</v>
      </c>
      <c r="AE49" s="18">
        <v>34.258936069148731</v>
      </c>
      <c r="AF49" s="18">
        <v>7.7194859283116486</v>
      </c>
      <c r="AG49" s="18">
        <v>74.161723908493684</v>
      </c>
      <c r="AH49" s="18">
        <v>16.42284185842361</v>
      </c>
      <c r="AI49" s="29">
        <f t="shared" si="52"/>
        <v>1.2470276394293486E-2</v>
      </c>
      <c r="AJ49" s="23">
        <f t="shared" si="53"/>
        <v>23.871542495122355</v>
      </c>
      <c r="AK49" s="23">
        <f t="shared" si="54"/>
        <v>0</v>
      </c>
      <c r="AL49" s="23">
        <f t="shared" si="55"/>
        <v>0.53103576535942631</v>
      </c>
      <c r="AM49" s="23">
        <f t="shared" si="56"/>
        <v>4.2070495048886372</v>
      </c>
      <c r="AN49" s="23">
        <f t="shared" si="57"/>
        <v>7.8350083258768848</v>
      </c>
      <c r="AO49" s="23">
        <f t="shared" si="58"/>
        <v>34.824324797118678</v>
      </c>
      <c r="AP49" s="23">
        <f t="shared" si="59"/>
        <v>146.16737733508108</v>
      </c>
      <c r="AQ49" s="23">
        <f t="shared" si="60"/>
        <v>6.9539502629565852</v>
      </c>
      <c r="AR49" s="23">
        <f t="shared" si="61"/>
        <v>334.30047488442318</v>
      </c>
      <c r="AS49" s="23">
        <f t="shared" si="62"/>
        <v>214.11835043217957</v>
      </c>
      <c r="AT49" s="23">
        <f t="shared" si="63"/>
        <v>312.5297946684878</v>
      </c>
      <c r="AU49" s="23">
        <f t="shared" si="64"/>
        <v>460.63182551859433</v>
      </c>
      <c r="AV49" s="24">
        <f t="shared" si="65"/>
        <v>667.59519749689468</v>
      </c>
      <c r="AW49" s="23">
        <f t="shared" si="66"/>
        <v>0.64730550238077433</v>
      </c>
      <c r="AX49" s="25">
        <f t="shared" si="67"/>
        <v>14.052557086172165</v>
      </c>
      <c r="AY49" s="26">
        <f t="shared" si="68"/>
        <v>0.15224784301835775</v>
      </c>
      <c r="AZ49" s="23">
        <f t="shared" si="69"/>
        <v>33.024737549981907</v>
      </c>
      <c r="BA49" s="25">
        <f t="shared" si="70"/>
        <v>0.87492501960490876</v>
      </c>
      <c r="BB49" s="27">
        <f t="shared" si="71"/>
        <v>2.0519994019962273</v>
      </c>
      <c r="BC49" s="28">
        <f t="shared" si="72"/>
        <v>-17.088348328268513</v>
      </c>
      <c r="BD49" s="27">
        <f t="shared" si="73"/>
        <v>-15.036348926272286</v>
      </c>
      <c r="BE49" s="24">
        <f t="shared" si="74"/>
        <v>207.68167629717999</v>
      </c>
      <c r="BG49" s="29">
        <f t="shared" si="75"/>
        <v>1.5096547562964416E-2</v>
      </c>
      <c r="BJ49"/>
    </row>
    <row r="50" spans="1:62" s="6" customFormat="1" ht="16" customHeight="1">
      <c r="A50" s="6">
        <v>4.0999999999999996</v>
      </c>
      <c r="B50" s="6" t="s">
        <v>157</v>
      </c>
      <c r="C50" s="6" t="s">
        <v>159</v>
      </c>
      <c r="D50" s="6">
        <v>42.4</v>
      </c>
      <c r="E50" s="6">
        <v>500</v>
      </c>
      <c r="F50" s="6">
        <v>0.75</v>
      </c>
      <c r="G50" s="6">
        <v>0.9</v>
      </c>
      <c r="H50" s="16">
        <f t="shared" si="48"/>
        <v>1010.3667485875304</v>
      </c>
      <c r="I50" s="17">
        <f t="shared" si="49"/>
        <v>737.36674858753042</v>
      </c>
      <c r="J50" s="9">
        <v>159.10480400684708</v>
      </c>
      <c r="K50" s="19">
        <v>4.4269478011861096</v>
      </c>
      <c r="M50" s="9">
        <v>380.3708936986979</v>
      </c>
      <c r="O50" s="18">
        <v>11233.552872306918</v>
      </c>
      <c r="Q50" s="9">
        <v>44.324833337056404</v>
      </c>
      <c r="R50" s="9">
        <v>92.541087579203648</v>
      </c>
      <c r="S50" s="20">
        <f t="shared" si="50"/>
        <v>44.417959990189075</v>
      </c>
      <c r="T50" s="20">
        <f t="shared" si="51"/>
        <v>93.846472027708117</v>
      </c>
      <c r="U50" s="21">
        <v>1.6566764913300242E-2</v>
      </c>
      <c r="V50" s="19">
        <v>19.434119665398079</v>
      </c>
      <c r="W50" s="21">
        <v>1.5414258372139573E-2</v>
      </c>
      <c r="X50" s="22">
        <v>0.3325319870419346</v>
      </c>
      <c r="Y50" s="22">
        <v>0.95902401504742074</v>
      </c>
      <c r="Z50" s="21">
        <v>0.64800258100043673</v>
      </c>
      <c r="AA50" s="19">
        <v>11.977055922876788</v>
      </c>
      <c r="AB50" s="19">
        <v>8.2864843346269677</v>
      </c>
      <c r="AC50" s="22">
        <v>2.7820364434735443</v>
      </c>
      <c r="AD50" s="18">
        <v>32.418758617612163</v>
      </c>
      <c r="AE50" s="18">
        <v>57.54017925364564</v>
      </c>
      <c r="AF50" s="18">
        <v>13.912223669304373</v>
      </c>
      <c r="AG50" s="18">
        <v>121.33350995398145</v>
      </c>
      <c r="AH50" s="18">
        <v>27.655907779764217</v>
      </c>
      <c r="AI50" s="29">
        <f t="shared" si="52"/>
        <v>6.9901961659494694E-2</v>
      </c>
      <c r="AJ50" s="23">
        <f t="shared" si="53"/>
        <v>31.703294723324763</v>
      </c>
      <c r="AK50" s="23">
        <f t="shared" si="54"/>
        <v>0.166101922113573</v>
      </c>
      <c r="AL50" s="23">
        <f t="shared" si="55"/>
        <v>0.72764110950095096</v>
      </c>
      <c r="AM50" s="23">
        <f t="shared" si="56"/>
        <v>6.4798919935636539</v>
      </c>
      <c r="AN50" s="23">
        <f t="shared" si="57"/>
        <v>11.509814937840794</v>
      </c>
      <c r="AO50" s="23">
        <f t="shared" si="58"/>
        <v>60.186210667722548</v>
      </c>
      <c r="AP50" s="23">
        <f t="shared" si="59"/>
        <v>229.54250234423733</v>
      </c>
      <c r="AQ50" s="23">
        <f t="shared" si="60"/>
        <v>11.309091233632294</v>
      </c>
      <c r="AR50" s="23">
        <f t="shared" si="61"/>
        <v>593.75015783172455</v>
      </c>
      <c r="AS50" s="23">
        <f t="shared" si="62"/>
        <v>359.62612033528524</v>
      </c>
      <c r="AT50" s="23">
        <f t="shared" si="63"/>
        <v>563.24792183418515</v>
      </c>
      <c r="AU50" s="23">
        <f t="shared" si="64"/>
        <v>753.62428542845623</v>
      </c>
      <c r="AV50" s="24">
        <f t="shared" si="65"/>
        <v>1124.2238934863503</v>
      </c>
      <c r="AW50" s="23">
        <f t="shared" si="66"/>
        <v>0.5828220267022709</v>
      </c>
      <c r="AX50" s="25">
        <f t="shared" si="67"/>
        <v>7.7335887121912545</v>
      </c>
      <c r="AY50" s="26">
        <f t="shared" si="68"/>
        <v>0.20708417957001268</v>
      </c>
      <c r="AZ50" s="23">
        <f t="shared" si="69"/>
        <v>21.198910907095829</v>
      </c>
      <c r="BA50" s="25">
        <f t="shared" si="70"/>
        <v>0.95346267518592398</v>
      </c>
      <c r="BB50" s="27">
        <f t="shared" si="71"/>
        <v>2.2012561788709091</v>
      </c>
      <c r="BC50" s="28">
        <f t="shared" si="72"/>
        <v>-16.187366182621332</v>
      </c>
      <c r="BD50" s="27">
        <f t="shared" si="73"/>
        <v>-13.986110003750422</v>
      </c>
      <c r="BE50" s="24">
        <f t="shared" si="74"/>
        <v>114.54599094548882</v>
      </c>
      <c r="BG50" s="29">
        <f t="shared" si="75"/>
        <v>1.500627229283457E-2</v>
      </c>
      <c r="BJ50"/>
    </row>
    <row r="51" spans="1:62" s="6" customFormat="1" ht="16" customHeight="1">
      <c r="A51" s="6">
        <v>4.2</v>
      </c>
      <c r="B51" s="6" t="s">
        <v>157</v>
      </c>
      <c r="C51" s="6" t="s">
        <v>167</v>
      </c>
      <c r="D51" s="6">
        <v>42.4</v>
      </c>
      <c r="E51" s="6">
        <v>500</v>
      </c>
      <c r="F51" s="6">
        <v>0.75</v>
      </c>
      <c r="G51" s="6">
        <v>0.9</v>
      </c>
      <c r="H51" s="16">
        <f t="shared" si="48"/>
        <v>1023.5555942564721</v>
      </c>
      <c r="I51" s="17">
        <f t="shared" si="49"/>
        <v>750.55559425647209</v>
      </c>
      <c r="J51" s="9">
        <v>97.040954395554039</v>
      </c>
      <c r="K51" s="19">
        <v>5.1327125980124988</v>
      </c>
      <c r="M51" s="9">
        <v>571.35832197824811</v>
      </c>
      <c r="O51" s="18">
        <v>10557.461072807168</v>
      </c>
      <c r="Q51" s="9">
        <v>65.41101266225634</v>
      </c>
      <c r="R51" s="9">
        <v>151.03540818675361</v>
      </c>
      <c r="S51" s="20">
        <f t="shared" si="50"/>
        <v>65.548441462967972</v>
      </c>
      <c r="T51" s="20">
        <f t="shared" si="51"/>
        <v>153.16591343775113</v>
      </c>
      <c r="U51" s="21">
        <v>2.1608905875404271E-2</v>
      </c>
      <c r="V51" s="19">
        <v>31.409498112262934</v>
      </c>
      <c r="W51" s="21">
        <v>3.7698057682717424E-2</v>
      </c>
      <c r="X51" s="22">
        <v>0.39923705419376071</v>
      </c>
      <c r="Y51" s="22">
        <v>1.3995788517714371</v>
      </c>
      <c r="Z51" s="21">
        <v>0.90917183418924508</v>
      </c>
      <c r="AA51" s="19">
        <v>20.839078095098795</v>
      </c>
      <c r="AB51" s="19">
        <v>13.773330171102803</v>
      </c>
      <c r="AC51" s="22">
        <v>4.8742971439530169</v>
      </c>
      <c r="AD51" s="18">
        <v>54.491463562702769</v>
      </c>
      <c r="AE51" s="18">
        <v>98.747431711952288</v>
      </c>
      <c r="AF51" s="18">
        <v>22.95751647722858</v>
      </c>
      <c r="AG51" s="18">
        <v>210.38409943137839</v>
      </c>
      <c r="AH51" s="18">
        <v>42.424604627649813</v>
      </c>
      <c r="AI51" s="29">
        <f t="shared" si="52"/>
        <v>9.1176818039680474E-2</v>
      </c>
      <c r="AJ51" s="23">
        <f t="shared" si="53"/>
        <v>51.238985501244592</v>
      </c>
      <c r="AK51" s="23">
        <f t="shared" si="54"/>
        <v>0.40622906985686885</v>
      </c>
      <c r="AL51" s="23">
        <f t="shared" si="55"/>
        <v>0.87360405731676305</v>
      </c>
      <c r="AM51" s="23">
        <f t="shared" si="56"/>
        <v>9.4566138633205217</v>
      </c>
      <c r="AN51" s="23">
        <f t="shared" si="57"/>
        <v>16.148700429649111</v>
      </c>
      <c r="AO51" s="23">
        <f t="shared" si="58"/>
        <v>104.7189854025065</v>
      </c>
      <c r="AP51" s="23">
        <f t="shared" si="59"/>
        <v>381.53269172029923</v>
      </c>
      <c r="AQ51" s="23">
        <f t="shared" si="60"/>
        <v>19.814216032329337</v>
      </c>
      <c r="AR51" s="23">
        <f t="shared" si="61"/>
        <v>998.01215316305434</v>
      </c>
      <c r="AS51" s="23">
        <f t="shared" si="62"/>
        <v>617.17144819970179</v>
      </c>
      <c r="AT51" s="23">
        <f t="shared" si="63"/>
        <v>929.45410838982104</v>
      </c>
      <c r="AU51" s="23">
        <f t="shared" si="64"/>
        <v>1306.7335368408594</v>
      </c>
      <c r="AV51" s="24">
        <f t="shared" si="65"/>
        <v>1724.5774238882038</v>
      </c>
      <c r="AW51" s="23">
        <f t="shared" si="66"/>
        <v>0.51316501084032884</v>
      </c>
      <c r="AX51" s="25">
        <f t="shared" si="67"/>
        <v>3.9270822732609232</v>
      </c>
      <c r="AY51" s="26">
        <f t="shared" si="68"/>
        <v>0.20506846077752289</v>
      </c>
      <c r="AZ51" s="23">
        <f t="shared" si="69"/>
        <v>29.841124067040184</v>
      </c>
      <c r="BA51" s="25">
        <f t="shared" si="70"/>
        <v>1.1202280959103579</v>
      </c>
      <c r="BB51" s="27">
        <f t="shared" si="71"/>
        <v>2.4811272302925733</v>
      </c>
      <c r="BC51" s="28">
        <f t="shared" si="72"/>
        <v>-15.869890036272531</v>
      </c>
      <c r="BD51" s="27">
        <f t="shared" si="73"/>
        <v>-13.388762805979958</v>
      </c>
      <c r="BE51" s="24">
        <f t="shared" si="74"/>
        <v>102.65434178395626</v>
      </c>
      <c r="BG51" s="29">
        <f t="shared" si="75"/>
        <v>1.5163164848613212E-2</v>
      </c>
      <c r="BJ51"/>
    </row>
    <row r="52" spans="1:62" s="6" customFormat="1" ht="16" customHeight="1">
      <c r="A52" s="6">
        <v>4.3</v>
      </c>
      <c r="B52" s="6" t="s">
        <v>157</v>
      </c>
      <c r="C52" s="6" t="s">
        <v>160</v>
      </c>
      <c r="D52" s="6">
        <v>42.4</v>
      </c>
      <c r="E52" s="6">
        <v>500</v>
      </c>
      <c r="F52" s="6">
        <v>0.75</v>
      </c>
      <c r="G52" s="6">
        <v>0.9</v>
      </c>
      <c r="H52" s="16">
        <f t="shared" si="48"/>
        <v>1004.8661881096466</v>
      </c>
      <c r="I52" s="17">
        <f t="shared" si="49"/>
        <v>731.8661881096466</v>
      </c>
      <c r="J52" s="9">
        <v>102.60454480525075</v>
      </c>
      <c r="K52" s="19">
        <v>4.1573154858776444</v>
      </c>
      <c r="M52" s="9">
        <v>326.32939383991169</v>
      </c>
      <c r="O52" s="18">
        <v>10491.911525877347</v>
      </c>
      <c r="Q52" s="9">
        <v>74.586718105052796</v>
      </c>
      <c r="R52" s="9">
        <v>118.78471583599429</v>
      </c>
      <c r="S52" s="20">
        <f t="shared" si="50"/>
        <v>74.743425099807965</v>
      </c>
      <c r="T52" s="20">
        <f t="shared" si="51"/>
        <v>120.46029286700356</v>
      </c>
      <c r="U52" s="21">
        <v>5.8955616732835441E-3</v>
      </c>
      <c r="V52" s="19">
        <v>26.364221475514128</v>
      </c>
      <c r="W52" s="21">
        <v>1.6456268563559792E-2</v>
      </c>
      <c r="X52" s="22">
        <v>0.43569566896738154</v>
      </c>
      <c r="Y52" s="22">
        <v>1.2000916703114735</v>
      </c>
      <c r="Z52" s="21">
        <v>0.70394480071597521</v>
      </c>
      <c r="AA52" s="19">
        <v>11.514343354910951</v>
      </c>
      <c r="AB52" s="19">
        <v>8.6828271487906257</v>
      </c>
      <c r="AC52" s="22">
        <v>3.0332969348437766</v>
      </c>
      <c r="AD52" s="18">
        <v>30.509061852944907</v>
      </c>
      <c r="AE52" s="18">
        <v>49.152880206054448</v>
      </c>
      <c r="AF52" s="18">
        <v>10.976547354831197</v>
      </c>
      <c r="AG52" s="18">
        <v>96.421314261391586</v>
      </c>
      <c r="AH52" s="18">
        <v>19.740235416084346</v>
      </c>
      <c r="AI52" s="29">
        <f t="shared" si="52"/>
        <v>2.4875787650985418E-2</v>
      </c>
      <c r="AJ52" s="23">
        <f t="shared" si="53"/>
        <v>43.008517904590747</v>
      </c>
      <c r="AK52" s="23">
        <f t="shared" si="54"/>
        <v>0.17733048021077363</v>
      </c>
      <c r="AL52" s="23">
        <f t="shared" si="55"/>
        <v>0.95338220780608651</v>
      </c>
      <c r="AM52" s="23">
        <f t="shared" si="56"/>
        <v>8.10872750210455</v>
      </c>
      <c r="AN52" s="23">
        <f t="shared" si="57"/>
        <v>12.503460048241122</v>
      </c>
      <c r="AO52" s="23">
        <f t="shared" si="58"/>
        <v>57.861021883974622</v>
      </c>
      <c r="AP52" s="23">
        <f t="shared" si="59"/>
        <v>240.52152766733036</v>
      </c>
      <c r="AQ52" s="23">
        <f t="shared" si="60"/>
        <v>12.330475344893401</v>
      </c>
      <c r="AR52" s="23">
        <f t="shared" si="61"/>
        <v>558.77402661071255</v>
      </c>
      <c r="AS52" s="23">
        <f t="shared" si="62"/>
        <v>307.20550128784032</v>
      </c>
      <c r="AT52" s="23">
        <f t="shared" si="63"/>
        <v>444.39462975025089</v>
      </c>
      <c r="AU52" s="23">
        <f t="shared" si="64"/>
        <v>598.89015069187315</v>
      </c>
      <c r="AV52" s="24">
        <f t="shared" si="65"/>
        <v>802.4485941497702</v>
      </c>
      <c r="AW52" s="23">
        <f t="shared" si="66"/>
        <v>0.57724583500948246</v>
      </c>
      <c r="AX52" s="25">
        <f t="shared" si="67"/>
        <v>9.638592892913902</v>
      </c>
      <c r="AY52" s="26">
        <f t="shared" si="68"/>
        <v>0.21886233918277154</v>
      </c>
      <c r="AZ52" s="23">
        <f t="shared" si="69"/>
        <v>28.975499520352944</v>
      </c>
      <c r="BA52" s="25">
        <f t="shared" si="70"/>
        <v>1.1781117906050269</v>
      </c>
      <c r="BB52" s="27">
        <f t="shared" si="71"/>
        <v>2.5686036368108693</v>
      </c>
      <c r="BC52" s="28">
        <f t="shared" si="72"/>
        <v>-16.322276794577721</v>
      </c>
      <c r="BD52" s="27">
        <f t="shared" si="73"/>
        <v>-13.753673157766851</v>
      </c>
      <c r="BE52" s="24">
        <f t="shared" si="74"/>
        <v>138.23920888661544</v>
      </c>
      <c r="BG52" s="29">
        <f t="shared" si="75"/>
        <v>2.0588876492038666E-2</v>
      </c>
      <c r="BJ52"/>
    </row>
    <row r="53" spans="1:62" s="6" customFormat="1" ht="16" customHeight="1">
      <c r="A53" s="6">
        <v>4.4000000000000004</v>
      </c>
      <c r="B53" s="6" t="s">
        <v>157</v>
      </c>
      <c r="C53" s="6" t="s">
        <v>158</v>
      </c>
      <c r="D53" s="6">
        <v>42.4</v>
      </c>
      <c r="E53" s="6">
        <v>500</v>
      </c>
      <c r="F53" s="6">
        <v>0.75</v>
      </c>
      <c r="G53" s="6">
        <v>0.9</v>
      </c>
      <c r="H53" s="16">
        <f t="shared" si="48"/>
        <v>961.65895516953469</v>
      </c>
      <c r="I53" s="17">
        <f t="shared" si="49"/>
        <v>688.65895516953469</v>
      </c>
      <c r="J53" s="9">
        <v>46.444446557153746</v>
      </c>
      <c r="K53" s="19">
        <v>2.4750226370974562</v>
      </c>
      <c r="M53" s="9">
        <v>152.08274804437883</v>
      </c>
      <c r="O53" s="18">
        <v>11816.328045417566</v>
      </c>
      <c r="Q53" s="9">
        <v>25.423110736288237</v>
      </c>
      <c r="R53" s="9">
        <v>86.280671273988631</v>
      </c>
      <c r="S53" s="20">
        <f t="shared" si="50"/>
        <v>25.4765247942067</v>
      </c>
      <c r="T53" s="20">
        <f t="shared" si="51"/>
        <v>87.497746299081612</v>
      </c>
      <c r="U53" s="21">
        <v>8.8262978096669015E-3</v>
      </c>
      <c r="V53" s="19">
        <v>11.471430297658081</v>
      </c>
      <c r="W53" s="21">
        <v>2.4636826010326855E-2</v>
      </c>
      <c r="X53" s="22">
        <v>0.16105774335942225</v>
      </c>
      <c r="Y53" s="22">
        <v>0.34341904143717028</v>
      </c>
      <c r="Z53" s="21">
        <v>0.28164088499111539</v>
      </c>
      <c r="AA53" s="19">
        <v>5.4743594231476367</v>
      </c>
      <c r="AB53" s="19">
        <v>3.8425124136810771</v>
      </c>
      <c r="AC53" s="22">
        <v>1.1983658403167377</v>
      </c>
      <c r="AD53" s="18">
        <v>13.444704318245186</v>
      </c>
      <c r="AE53" s="18">
        <v>25.645043665101834</v>
      </c>
      <c r="AF53" s="18">
        <v>6.5679591940356676</v>
      </c>
      <c r="AG53" s="18">
        <v>63.287229174113499</v>
      </c>
      <c r="AH53" s="18">
        <v>13.137765012855914</v>
      </c>
      <c r="AI53" s="29">
        <f t="shared" si="52"/>
        <v>3.7241762909986931E-2</v>
      </c>
      <c r="AJ53" s="23">
        <f t="shared" si="53"/>
        <v>18.71358939259067</v>
      </c>
      <c r="AK53" s="23">
        <f t="shared" si="54"/>
        <v>0.26548303890438424</v>
      </c>
      <c r="AL53" s="23">
        <f t="shared" si="55"/>
        <v>0.35242394608188676</v>
      </c>
      <c r="AM53" s="23">
        <f t="shared" si="56"/>
        <v>2.3203989286295292</v>
      </c>
      <c r="AN53" s="23">
        <f t="shared" si="57"/>
        <v>5.002502397710753</v>
      </c>
      <c r="AO53" s="23">
        <f t="shared" si="58"/>
        <v>27.509343834912745</v>
      </c>
      <c r="AP53" s="23">
        <f t="shared" si="59"/>
        <v>106.44078708257831</v>
      </c>
      <c r="AQ53" s="23">
        <f t="shared" si="60"/>
        <v>4.8714058549460884</v>
      </c>
      <c r="AR53" s="23">
        <f t="shared" si="61"/>
        <v>246.2400058286664</v>
      </c>
      <c r="AS53" s="23">
        <f t="shared" si="62"/>
        <v>160.28152290688647</v>
      </c>
      <c r="AT53" s="23">
        <f t="shared" si="63"/>
        <v>265.90927911075579</v>
      </c>
      <c r="AU53" s="23">
        <f t="shared" si="64"/>
        <v>393.08837996343789</v>
      </c>
      <c r="AV53" s="24">
        <f t="shared" si="65"/>
        <v>534.05548832747616</v>
      </c>
      <c r="AW53" s="23">
        <f t="shared" si="66"/>
        <v>0.62613194454632992</v>
      </c>
      <c r="AX53" s="25">
        <f t="shared" si="67"/>
        <v>15.928528454709548</v>
      </c>
      <c r="AY53" s="26">
        <f t="shared" si="68"/>
        <v>0.13110543737260222</v>
      </c>
      <c r="AZ53" s="23">
        <f t="shared" si="69"/>
        <v>35.352301424480387</v>
      </c>
      <c r="BA53" s="25">
        <f t="shared" si="70"/>
        <v>0.7795241052386912</v>
      </c>
      <c r="BB53" s="27">
        <f t="shared" si="71"/>
        <v>1.8515345386171782</v>
      </c>
      <c r="BC53" s="28">
        <f t="shared" si="72"/>
        <v>-17.436797356831658</v>
      </c>
      <c r="BD53" s="27">
        <f t="shared" si="73"/>
        <v>-15.585262818214479</v>
      </c>
      <c r="BE53" s="24">
        <f t="shared" si="74"/>
        <v>349.14974971988323</v>
      </c>
      <c r="BG53" s="29">
        <f t="shared" si="75"/>
        <v>1.2392647819808842E-2</v>
      </c>
      <c r="BJ53"/>
    </row>
    <row r="54" spans="1:62" s="6" customFormat="1" ht="16" customHeight="1">
      <c r="A54" s="6">
        <v>6.1</v>
      </c>
      <c r="B54" s="6" t="s">
        <v>157</v>
      </c>
      <c r="C54" s="6" t="s">
        <v>159</v>
      </c>
      <c r="D54" s="6">
        <v>42.4</v>
      </c>
      <c r="E54" s="6">
        <v>500</v>
      </c>
      <c r="F54" s="6">
        <v>0.75</v>
      </c>
      <c r="G54" s="6">
        <v>0.9</v>
      </c>
      <c r="H54" s="16">
        <f t="shared" si="48"/>
        <v>953.83547027848783</v>
      </c>
      <c r="I54" s="17">
        <f t="shared" si="49"/>
        <v>680.83547027848783</v>
      </c>
      <c r="J54" s="9">
        <v>129.6583692494826</v>
      </c>
      <c r="K54" s="19">
        <v>2.2418907260896654</v>
      </c>
      <c r="M54" s="9">
        <v>360.31518599644858</v>
      </c>
      <c r="O54" s="18">
        <v>11386.996983832434</v>
      </c>
      <c r="Q54" s="9">
        <v>33.688694157779636</v>
      </c>
      <c r="R54" s="9">
        <v>79.48273758214728</v>
      </c>
      <c r="S54" s="20">
        <f t="shared" si="50"/>
        <v>33.75947423971401</v>
      </c>
      <c r="T54" s="20">
        <f t="shared" si="51"/>
        <v>80.603920964344894</v>
      </c>
      <c r="U54" s="21">
        <v>0.30524320243573555</v>
      </c>
      <c r="V54" s="19">
        <v>17.946831628360542</v>
      </c>
      <c r="W54" s="21">
        <v>3.5874723856808698E-2</v>
      </c>
      <c r="X54" s="22">
        <v>0.40455215550724005</v>
      </c>
      <c r="Y54" s="22">
        <v>1.14344584759917</v>
      </c>
      <c r="Z54" s="21">
        <v>0.6647737819108932</v>
      </c>
      <c r="AA54" s="19">
        <v>12.775554419288936</v>
      </c>
      <c r="AB54" s="19">
        <v>8.6607246094451007</v>
      </c>
      <c r="AC54" s="22">
        <v>3.0388777942814298</v>
      </c>
      <c r="AD54" s="18">
        <v>32.346326857093374</v>
      </c>
      <c r="AE54" s="18">
        <v>56.916131331588616</v>
      </c>
      <c r="AF54" s="18">
        <v>12.598207375276971</v>
      </c>
      <c r="AG54" s="18">
        <v>113.64815891723491</v>
      </c>
      <c r="AH54" s="18">
        <v>23.718257629403965</v>
      </c>
      <c r="AI54" s="29">
        <f t="shared" si="52"/>
        <v>1.2879460018385467</v>
      </c>
      <c r="AJ54" s="23">
        <f t="shared" si="53"/>
        <v>29.277049964699088</v>
      </c>
      <c r="AK54" s="23">
        <f t="shared" si="54"/>
        <v>0.38658107604319719</v>
      </c>
      <c r="AL54" s="23">
        <f t="shared" si="55"/>
        <v>0.88523447594582061</v>
      </c>
      <c r="AM54" s="23">
        <f t="shared" si="56"/>
        <v>7.7259854567511494</v>
      </c>
      <c r="AN54" s="23">
        <f t="shared" si="57"/>
        <v>11.807704829678388</v>
      </c>
      <c r="AO54" s="23">
        <f t="shared" si="58"/>
        <v>64.198765926075055</v>
      </c>
      <c r="AP54" s="23">
        <f t="shared" si="59"/>
        <v>239.90926895969807</v>
      </c>
      <c r="AQ54" s="23">
        <f t="shared" si="60"/>
        <v>12.353161765371667</v>
      </c>
      <c r="AR54" s="23">
        <f t="shared" si="61"/>
        <v>592.42356881123396</v>
      </c>
      <c r="AS54" s="23">
        <f t="shared" si="62"/>
        <v>355.72582082242883</v>
      </c>
      <c r="AT54" s="23">
        <f t="shared" si="63"/>
        <v>510.04888159016076</v>
      </c>
      <c r="AU54" s="23">
        <f t="shared" si="64"/>
        <v>705.88918582133476</v>
      </c>
      <c r="AV54" s="24">
        <f t="shared" si="65"/>
        <v>964.15681420341321</v>
      </c>
      <c r="AW54" s="23">
        <f t="shared" si="66"/>
        <v>0.53018227579825572</v>
      </c>
      <c r="AX54" s="25">
        <f t="shared" si="67"/>
        <v>7.5108428694989016</v>
      </c>
      <c r="AY54" s="26">
        <f t="shared" si="68"/>
        <v>0.22265457329674215</v>
      </c>
      <c r="AZ54" s="23">
        <f t="shared" si="69"/>
        <v>35.953545829120443</v>
      </c>
      <c r="BA54" s="25">
        <f t="shared" si="70"/>
        <v>1.33506522540876</v>
      </c>
      <c r="BB54" s="27">
        <f t="shared" si="71"/>
        <v>2.7857589307727109</v>
      </c>
      <c r="BC54" s="28">
        <f t="shared" si="72"/>
        <v>-17.649655557161324</v>
      </c>
      <c r="BD54" s="27">
        <f t="shared" si="73"/>
        <v>-14.863896626388613</v>
      </c>
      <c r="BE54" s="24">
        <f t="shared" si="74"/>
        <v>91.788110120732128</v>
      </c>
      <c r="BG54" s="29">
        <f t="shared" si="75"/>
        <v>1.7500143101070731E-2</v>
      </c>
      <c r="BJ54"/>
    </row>
    <row r="55" spans="1:62" s="6" customFormat="1" ht="16" customHeight="1">
      <c r="A55" s="6">
        <v>6.2</v>
      </c>
      <c r="B55" s="6" t="s">
        <v>157</v>
      </c>
      <c r="C55" s="6" t="s">
        <v>158</v>
      </c>
      <c r="D55" s="6">
        <v>42.4</v>
      </c>
      <c r="E55" s="6">
        <v>500</v>
      </c>
      <c r="F55" s="6">
        <v>0.75</v>
      </c>
      <c r="G55" s="6">
        <v>0.9</v>
      </c>
      <c r="H55" s="16">
        <f t="shared" si="48"/>
        <v>985.65680926493485</v>
      </c>
      <c r="I55" s="17">
        <f t="shared" si="49"/>
        <v>712.65680926493485</v>
      </c>
      <c r="J55" s="9">
        <v>79.485708419807452</v>
      </c>
      <c r="K55" s="19">
        <v>3.3198231921145869</v>
      </c>
      <c r="M55" s="9">
        <v>231.29099288468521</v>
      </c>
      <c r="O55" s="18">
        <v>11861.924545608586</v>
      </c>
      <c r="Q55" s="9">
        <v>85.844666682635875</v>
      </c>
      <c r="R55" s="9">
        <v>177.06204827972672</v>
      </c>
      <c r="S55" s="20">
        <f t="shared" si="50"/>
        <v>86.025026672636329</v>
      </c>
      <c r="T55" s="20">
        <f t="shared" si="51"/>
        <v>179.5596852785018</v>
      </c>
      <c r="U55" s="21">
        <v>9.2747784363551751E-3</v>
      </c>
      <c r="V55" s="19">
        <v>17.123815741357308</v>
      </c>
      <c r="W55" s="21">
        <v>3.451822535311095E-2</v>
      </c>
      <c r="X55" s="22">
        <v>0.24540001143501361</v>
      </c>
      <c r="Y55" s="22">
        <v>0.65132417993226011</v>
      </c>
      <c r="Z55" s="21">
        <v>0.45824761205575254</v>
      </c>
      <c r="AA55" s="19">
        <v>8.1989966155162346</v>
      </c>
      <c r="AB55" s="19">
        <v>6.0781138707090276</v>
      </c>
      <c r="AC55" s="22">
        <v>2.0467800187000993</v>
      </c>
      <c r="AD55" s="18">
        <v>22.258365264948434</v>
      </c>
      <c r="AE55" s="18">
        <v>38.135454095586624</v>
      </c>
      <c r="AF55" s="18">
        <v>9.0451860140434892</v>
      </c>
      <c r="AG55" s="18">
        <v>80.480960214185245</v>
      </c>
      <c r="AH55" s="18">
        <v>17.629195949724824</v>
      </c>
      <c r="AI55" s="29">
        <f t="shared" si="52"/>
        <v>3.9134086229346735E-2</v>
      </c>
      <c r="AJ55" s="23">
        <f t="shared" si="53"/>
        <v>27.934446560126116</v>
      </c>
      <c r="AK55" s="23">
        <f t="shared" si="54"/>
        <v>0.37196363527059217</v>
      </c>
      <c r="AL55" s="23">
        <f t="shared" si="55"/>
        <v>0.53698033136764467</v>
      </c>
      <c r="AM55" s="23">
        <f t="shared" si="56"/>
        <v>4.4008390535963526</v>
      </c>
      <c r="AN55" s="23">
        <f t="shared" si="57"/>
        <v>8.1393892017007552</v>
      </c>
      <c r="AO55" s="23">
        <f t="shared" si="58"/>
        <v>41.200988017669516</v>
      </c>
      <c r="AP55" s="23">
        <f t="shared" si="59"/>
        <v>168.36880528279855</v>
      </c>
      <c r="AQ55" s="23">
        <f t="shared" si="60"/>
        <v>8.3202439784556876</v>
      </c>
      <c r="AR55" s="23">
        <f t="shared" si="61"/>
        <v>407.66236748989803</v>
      </c>
      <c r="AS55" s="23">
        <f t="shared" si="62"/>
        <v>238.3465880974164</v>
      </c>
      <c r="AT55" s="23">
        <f t="shared" si="63"/>
        <v>366.20186291674048</v>
      </c>
      <c r="AU55" s="23">
        <f t="shared" si="64"/>
        <v>499.88174046077791</v>
      </c>
      <c r="AV55" s="24">
        <f t="shared" si="65"/>
        <v>716.63398169613106</v>
      </c>
      <c r="AW55" s="23">
        <f t="shared" si="66"/>
        <v>0.60446374473008857</v>
      </c>
      <c r="AX55" s="25">
        <f t="shared" si="67"/>
        <v>12.092134915208341</v>
      </c>
      <c r="AY55" s="26">
        <f t="shared" si="68"/>
        <v>9.5365592308751371E-2</v>
      </c>
      <c r="AZ55" s="23">
        <f t="shared" si="69"/>
        <v>54.087122984441194</v>
      </c>
      <c r="BA55" s="25">
        <f t="shared" si="70"/>
        <v>0.70135621688872385</v>
      </c>
      <c r="BB55" s="27">
        <f t="shared" si="71"/>
        <v>1.6680627265810104</v>
      </c>
      <c r="BC55" s="28">
        <f t="shared" si="72"/>
        <v>-16.80545523684221</v>
      </c>
      <c r="BD55" s="27">
        <f t="shared" si="73"/>
        <v>-15.137392510261201</v>
      </c>
      <c r="BE55" s="24">
        <f t="shared" si="74"/>
        <v>224.9173575160612</v>
      </c>
      <c r="BG55" s="29">
        <f t="shared" si="75"/>
        <v>1.6644424680898134E-2</v>
      </c>
      <c r="BJ55"/>
    </row>
    <row r="56" spans="1:62" s="6" customFormat="1" ht="16" customHeight="1">
      <c r="A56" s="6">
        <v>8.1</v>
      </c>
      <c r="B56" s="6" t="s">
        <v>157</v>
      </c>
      <c r="C56" s="6" t="s">
        <v>159</v>
      </c>
      <c r="D56" s="6">
        <v>42.4</v>
      </c>
      <c r="E56" s="6">
        <v>500</v>
      </c>
      <c r="F56" s="6">
        <v>0.75</v>
      </c>
      <c r="G56" s="6">
        <v>0.9</v>
      </c>
      <c r="H56" s="16">
        <f t="shared" si="48"/>
        <v>971.95997458055797</v>
      </c>
      <c r="I56" s="17">
        <f t="shared" si="49"/>
        <v>698.95997458055797</v>
      </c>
      <c r="J56" s="9">
        <v>114.72950103418805</v>
      </c>
      <c r="K56" s="19">
        <v>2.812516309382179</v>
      </c>
      <c r="M56" s="9">
        <v>348.76543586365045</v>
      </c>
      <c r="O56" s="18">
        <v>10556.920370580359</v>
      </c>
      <c r="Q56" s="9">
        <v>39.212970140345575</v>
      </c>
      <c r="R56" s="9">
        <v>111.493185763287</v>
      </c>
      <c r="S56" s="20">
        <f t="shared" si="50"/>
        <v>39.295356748340076</v>
      </c>
      <c r="T56" s="20">
        <f t="shared" si="51"/>
        <v>113.06590848156119</v>
      </c>
      <c r="U56" s="21">
        <v>6.1778063446890933E-3</v>
      </c>
      <c r="V56" s="19">
        <v>14.284010331875468</v>
      </c>
      <c r="W56" s="21">
        <v>1.7244097505173854E-2</v>
      </c>
      <c r="X56" s="22">
        <v>0.26209593204485571</v>
      </c>
      <c r="Y56" s="22">
        <v>0.86181403625599773</v>
      </c>
      <c r="Z56" s="21">
        <v>0.47692598275782461</v>
      </c>
      <c r="AA56" s="19">
        <v>13.296763954094645</v>
      </c>
      <c r="AB56" s="19">
        <v>7.5963971898115226</v>
      </c>
      <c r="AC56" s="22">
        <v>2.7110848532606946</v>
      </c>
      <c r="AD56" s="18">
        <v>31.934716021671054</v>
      </c>
      <c r="AE56" s="18">
        <v>61.441678853483467</v>
      </c>
      <c r="AF56" s="18">
        <v>14.926804213451065</v>
      </c>
      <c r="AG56" s="18">
        <v>143.84803292489957</v>
      </c>
      <c r="AH56" s="18">
        <v>31.40716770517356</v>
      </c>
      <c r="AI56" s="29">
        <f t="shared" si="52"/>
        <v>2.6066693437506724E-2</v>
      </c>
      <c r="AJ56" s="23">
        <f t="shared" si="53"/>
        <v>23.301811308116587</v>
      </c>
      <c r="AK56" s="23">
        <f t="shared" si="54"/>
        <v>0.18582001621954586</v>
      </c>
      <c r="AL56" s="23">
        <f t="shared" si="55"/>
        <v>0.57351407449640202</v>
      </c>
      <c r="AM56" s="23">
        <f t="shared" si="56"/>
        <v>5.8230678125405255</v>
      </c>
      <c r="AN56" s="23">
        <f t="shared" si="57"/>
        <v>8.471154223051947</v>
      </c>
      <c r="AO56" s="23">
        <f t="shared" si="58"/>
        <v>66.817909317058522</v>
      </c>
      <c r="AP56" s="23">
        <f t="shared" si="59"/>
        <v>210.42651495322778</v>
      </c>
      <c r="AQ56" s="23">
        <f t="shared" si="60"/>
        <v>11.020670135206077</v>
      </c>
      <c r="AR56" s="23">
        <f t="shared" si="61"/>
        <v>584.88490882181418</v>
      </c>
      <c r="AS56" s="23">
        <f t="shared" si="62"/>
        <v>384.01049283427164</v>
      </c>
      <c r="AT56" s="23">
        <f t="shared" si="63"/>
        <v>604.32405722473948</v>
      </c>
      <c r="AU56" s="23">
        <f t="shared" si="64"/>
        <v>893.46604301179855</v>
      </c>
      <c r="AV56" s="24">
        <f t="shared" si="65"/>
        <v>1276.7141343566489</v>
      </c>
      <c r="AW56" s="23">
        <f t="shared" si="66"/>
        <v>0.42945753123013625</v>
      </c>
      <c r="AX56" s="25">
        <f t="shared" si="67"/>
        <v>4.8066463699333353</v>
      </c>
      <c r="AY56" s="26">
        <f t="shared" si="68"/>
        <v>0.1263334856961319</v>
      </c>
      <c r="AZ56" s="23">
        <f t="shared" si="69"/>
        <v>40.20097878344329</v>
      </c>
      <c r="BA56" s="25">
        <f t="shared" si="70"/>
        <v>0.80100788746254326</v>
      </c>
      <c r="BB56" s="27">
        <f t="shared" si="71"/>
        <v>1.8987398966923534</v>
      </c>
      <c r="BC56" s="28">
        <f t="shared" si="72"/>
        <v>-17.161887180169941</v>
      </c>
      <c r="BD56" s="27">
        <f t="shared" si="73"/>
        <v>-15.263147283477588</v>
      </c>
      <c r="BE56" s="24">
        <f t="shared" si="74"/>
        <v>116.49630825306774</v>
      </c>
      <c r="BG56" s="29">
        <f t="shared" si="75"/>
        <v>1.2334738652245058E-2</v>
      </c>
      <c r="BJ56"/>
    </row>
    <row r="57" spans="1:62" s="6" customFormat="1" ht="16" customHeight="1">
      <c r="A57" s="6">
        <v>8.1999999999999993</v>
      </c>
      <c r="B57" s="6" t="s">
        <v>157</v>
      </c>
      <c r="C57" s="6" t="s">
        <v>167</v>
      </c>
      <c r="D57" s="6">
        <v>42.4</v>
      </c>
      <c r="E57" s="6">
        <v>500</v>
      </c>
      <c r="F57" s="6">
        <v>0.75</v>
      </c>
      <c r="G57" s="6">
        <v>0.9</v>
      </c>
      <c r="H57" s="16">
        <f t="shared" si="48"/>
        <v>1019.7177724442303</v>
      </c>
      <c r="I57" s="17">
        <f t="shared" si="49"/>
        <v>746.71777244423026</v>
      </c>
      <c r="J57" s="9">
        <v>123.57398090726127</v>
      </c>
      <c r="K57" s="19">
        <v>4.9184067036922388</v>
      </c>
      <c r="M57" s="9">
        <v>654.81325024172497</v>
      </c>
      <c r="O57" s="18">
        <v>10625.622645233723</v>
      </c>
      <c r="Q57" s="9">
        <v>80.098212442289807</v>
      </c>
      <c r="R57" s="9">
        <v>177.27550847777658</v>
      </c>
      <c r="S57" s="20">
        <f t="shared" si="50"/>
        <v>80.266499108816859</v>
      </c>
      <c r="T57" s="20">
        <f t="shared" si="51"/>
        <v>179.77615654579881</v>
      </c>
      <c r="V57" s="19">
        <v>32.022819758343523</v>
      </c>
      <c r="W57" s="21">
        <v>5.0138444023423157E-2</v>
      </c>
      <c r="X57" s="22">
        <v>0.49984752849393621</v>
      </c>
      <c r="Y57" s="22">
        <v>1.4574468480225156</v>
      </c>
      <c r="Z57" s="21">
        <v>1.0415630196856129</v>
      </c>
      <c r="AA57" s="19">
        <v>22.386528381747411</v>
      </c>
      <c r="AB57" s="19">
        <v>14.745508883546751</v>
      </c>
      <c r="AC57" s="22">
        <v>5.1078812860464531</v>
      </c>
      <c r="AD57" s="18">
        <v>59.378847030321914</v>
      </c>
      <c r="AE57" s="18">
        <v>105.92489835232816</v>
      </c>
      <c r="AF57" s="18">
        <v>24.397823321760875</v>
      </c>
      <c r="AG57" s="18">
        <v>231.7702226329823</v>
      </c>
      <c r="AH57" s="18">
        <v>50.287841280742995</v>
      </c>
      <c r="AI57" s="29">
        <f t="shared" si="52"/>
        <v>0</v>
      </c>
      <c r="AJ57" s="23">
        <f t="shared" si="53"/>
        <v>52.239510209369534</v>
      </c>
      <c r="AK57" s="23">
        <f t="shared" si="54"/>
        <v>0.54028495714895641</v>
      </c>
      <c r="AL57" s="23">
        <f t="shared" si="55"/>
        <v>1.0937582680392477</v>
      </c>
      <c r="AM57" s="23">
        <f t="shared" si="56"/>
        <v>9.8476138379899698</v>
      </c>
      <c r="AN57" s="23">
        <f t="shared" si="57"/>
        <v>18.500231255517104</v>
      </c>
      <c r="AO57" s="23">
        <f t="shared" si="58"/>
        <v>112.49511749621814</v>
      </c>
      <c r="AP57" s="23">
        <f t="shared" si="59"/>
        <v>408.46284995974378</v>
      </c>
      <c r="AQ57" s="23">
        <f t="shared" si="60"/>
        <v>20.763745065229486</v>
      </c>
      <c r="AR57" s="23">
        <f t="shared" si="61"/>
        <v>1087.5246708850168</v>
      </c>
      <c r="AS57" s="23">
        <f t="shared" si="62"/>
        <v>662.03061470205091</v>
      </c>
      <c r="AT57" s="23">
        <f t="shared" si="63"/>
        <v>987.76612638707991</v>
      </c>
      <c r="AU57" s="23">
        <f t="shared" si="64"/>
        <v>1439.566600204859</v>
      </c>
      <c r="AV57" s="24">
        <f t="shared" si="65"/>
        <v>2044.2211902741055</v>
      </c>
      <c r="AW57" s="23">
        <f t="shared" si="66"/>
        <v>0.55583362452730878</v>
      </c>
      <c r="AX57" s="25">
        <f t="shared" si="67"/>
        <v>3.8611178145436988</v>
      </c>
      <c r="AY57" s="26">
        <f t="shared" si="68"/>
        <v>0.17812606729183</v>
      </c>
      <c r="AZ57" s="23">
        <f t="shared" si="69"/>
        <v>36.551706147204378</v>
      </c>
      <c r="BA57" s="25">
        <f t="shared" si="70"/>
        <v>1.0769147029558783</v>
      </c>
      <c r="BB57" s="27">
        <f t="shared" si="71"/>
        <v>2.4126608628258821</v>
      </c>
      <c r="BC57" s="28">
        <f t="shared" si="72"/>
        <v>-15.961412077171005</v>
      </c>
      <c r="BD57" s="27">
        <f t="shared" si="73"/>
        <v>-13.548751214345122</v>
      </c>
      <c r="BE57" s="24">
        <f t="shared" si="74"/>
        <v>72.93908124545419</v>
      </c>
      <c r="BG57" s="29">
        <f t="shared" si="75"/>
        <v>1.4423608509863094E-2</v>
      </c>
      <c r="BJ57"/>
    </row>
    <row r="58" spans="1:62" s="6" customFormat="1" ht="16" customHeight="1">
      <c r="A58" s="6">
        <v>8.3000000000000007</v>
      </c>
      <c r="B58" s="6" t="s">
        <v>157</v>
      </c>
      <c r="C58" s="6" t="s">
        <v>160</v>
      </c>
      <c r="D58" s="6">
        <v>42.4</v>
      </c>
      <c r="E58" s="6">
        <v>500</v>
      </c>
      <c r="F58" s="6">
        <v>0.75</v>
      </c>
      <c r="G58" s="6">
        <v>0.9</v>
      </c>
      <c r="H58" s="16">
        <f t="shared" si="48"/>
        <v>1046.0110158056234</v>
      </c>
      <c r="I58" s="17">
        <f t="shared" si="49"/>
        <v>773.0110158056234</v>
      </c>
      <c r="J58" s="9">
        <v>114.25063990094253</v>
      </c>
      <c r="K58" s="19">
        <v>6.5463540563794211</v>
      </c>
      <c r="M58" s="9">
        <v>343.55614272414783</v>
      </c>
      <c r="O58" s="18">
        <v>9571.7175758540307</v>
      </c>
      <c r="Q58" s="9">
        <v>37.96927587784247</v>
      </c>
      <c r="R58" s="9">
        <v>65.127352015545114</v>
      </c>
      <c r="S58" s="20">
        <f t="shared" si="50"/>
        <v>38.049049479188838</v>
      </c>
      <c r="T58" s="20">
        <f t="shared" si="51"/>
        <v>66.046038349554379</v>
      </c>
      <c r="V58" s="19">
        <v>15.893926131891213</v>
      </c>
      <c r="W58" s="21">
        <v>1.7376960083420483E-2</v>
      </c>
      <c r="X58" s="22">
        <v>0.30671457987466599</v>
      </c>
      <c r="Y58" s="22">
        <v>0.98365725586435104</v>
      </c>
      <c r="Z58" s="21">
        <v>0.61837278376555738</v>
      </c>
      <c r="AA58" s="19">
        <v>11.922515684165164</v>
      </c>
      <c r="AB58" s="19">
        <v>10.228192116225722</v>
      </c>
      <c r="AC58" s="22">
        <v>2.8693569728427386</v>
      </c>
      <c r="AD58" s="18">
        <v>34.258081382713804</v>
      </c>
      <c r="AE58" s="18">
        <v>55.397699231881987</v>
      </c>
      <c r="AF58" s="18">
        <v>11.860427276970992</v>
      </c>
      <c r="AG58" s="18">
        <v>115.45627559050645</v>
      </c>
      <c r="AH58" s="18">
        <v>23.76989243296909</v>
      </c>
      <c r="AI58" s="29">
        <f t="shared" si="52"/>
        <v>0</v>
      </c>
      <c r="AJ58" s="23">
        <f t="shared" si="53"/>
        <v>25.928101357081914</v>
      </c>
      <c r="AK58" s="23">
        <f t="shared" si="54"/>
        <v>0.18725172503685866</v>
      </c>
      <c r="AL58" s="23">
        <f t="shared" si="55"/>
        <v>0.67114787718745295</v>
      </c>
      <c r="AM58" s="23">
        <f t="shared" si="56"/>
        <v>6.6463328098942638</v>
      </c>
      <c r="AN58" s="23">
        <f t="shared" si="57"/>
        <v>10.983530795125352</v>
      </c>
      <c r="AO58" s="23">
        <f t="shared" si="58"/>
        <v>59.912139116407857</v>
      </c>
      <c r="AP58" s="23">
        <f t="shared" si="59"/>
        <v>283.32942150209755</v>
      </c>
      <c r="AQ58" s="23">
        <f t="shared" si="60"/>
        <v>11.664052735133083</v>
      </c>
      <c r="AR58" s="23">
        <f t="shared" si="61"/>
        <v>627.43738796179127</v>
      </c>
      <c r="AS58" s="23">
        <f t="shared" si="62"/>
        <v>346.23562019926243</v>
      </c>
      <c r="AT58" s="23">
        <f t="shared" si="63"/>
        <v>480.17924198263125</v>
      </c>
      <c r="AU58" s="23">
        <f t="shared" si="64"/>
        <v>717.1197241646363</v>
      </c>
      <c r="AV58" s="24">
        <f t="shared" si="65"/>
        <v>966.25578995809315</v>
      </c>
      <c r="AW58" s="23">
        <f t="shared" si="66"/>
        <v>0.55041912652040559</v>
      </c>
      <c r="AX58" s="25">
        <f t="shared" si="67"/>
        <v>7.6754146898076456</v>
      </c>
      <c r="AY58" s="26">
        <f t="shared" si="68"/>
        <v>0.24064919757595804</v>
      </c>
      <c r="AZ58" s="23">
        <f t="shared" si="69"/>
        <v>10.088980489100269</v>
      </c>
      <c r="BA58" s="25">
        <f t="shared" si="70"/>
        <v>0.76437778895893704</v>
      </c>
      <c r="BB58" s="27">
        <f t="shared" si="71"/>
        <v>1.8174656197963786</v>
      </c>
      <c r="BC58" s="28">
        <f t="shared" si="72"/>
        <v>-15.348024862011762</v>
      </c>
      <c r="BD58" s="27">
        <f t="shared" si="73"/>
        <v>-13.530559242215384</v>
      </c>
      <c r="BE58" s="24">
        <f t="shared" si="74"/>
        <v>112.44878747184003</v>
      </c>
      <c r="BG58" s="29">
        <f t="shared" si="75"/>
        <v>1.626514003463005E-2</v>
      </c>
      <c r="BJ58"/>
    </row>
    <row r="59" spans="1:62" s="39" customFormat="1" ht="16" customHeight="1">
      <c r="A59" s="39">
        <v>8.4</v>
      </c>
      <c r="B59" s="39" t="s">
        <v>157</v>
      </c>
      <c r="C59" s="39" t="s">
        <v>158</v>
      </c>
      <c r="D59" s="39">
        <v>42.4</v>
      </c>
      <c r="F59" s="39">
        <v>0.5</v>
      </c>
      <c r="H59" s="40">
        <f t="shared" ref="H59" si="76">((-4800)/(LOG(K59)-5.711-LOG(F59)))</f>
        <v>1191.4189604405467</v>
      </c>
      <c r="I59" s="41">
        <f t="shared" si="49"/>
        <v>918.4189604405467</v>
      </c>
      <c r="J59" s="42">
        <v>492.82462803106546</v>
      </c>
      <c r="K59" s="41">
        <v>24.052516786178884</v>
      </c>
      <c r="M59" s="42">
        <v>2872.2537340935464</v>
      </c>
      <c r="O59" s="42">
        <v>8981</v>
      </c>
      <c r="Q59" s="42">
        <v>797.64592920121868</v>
      </c>
      <c r="R59" s="42">
        <v>463.81973379369998</v>
      </c>
      <c r="S59" s="43">
        <f t="shared" si="50"/>
        <v>799.32178650690889</v>
      </c>
      <c r="T59" s="43">
        <f t="shared" si="51"/>
        <v>470.36237429255493</v>
      </c>
      <c r="U59" s="44">
        <v>4.8347888528081751E-2</v>
      </c>
      <c r="V59" s="41">
        <v>174.43055074941421</v>
      </c>
      <c r="W59" s="45">
        <v>0.10796268544924434</v>
      </c>
      <c r="X59" s="46">
        <v>3.6347769133360806</v>
      </c>
      <c r="Y59" s="46">
        <v>14.058151234924477</v>
      </c>
      <c r="Z59" s="44">
        <v>8.9578842575447872</v>
      </c>
      <c r="AA59" s="40">
        <v>110.58509003608894</v>
      </c>
      <c r="AB59" s="40">
        <v>126.28898266334444</v>
      </c>
      <c r="AC59" s="47">
        <v>37.032401469059444</v>
      </c>
      <c r="AD59" s="42">
        <v>345.93649678683215</v>
      </c>
      <c r="AE59" s="42">
        <v>459.23085261512148</v>
      </c>
      <c r="AF59" s="42">
        <v>92.144443488409109</v>
      </c>
      <c r="AG59" s="42">
        <v>731.78828805194962</v>
      </c>
      <c r="AH59" s="42">
        <v>130.82652780579357</v>
      </c>
      <c r="AI59" s="48">
        <f t="shared" si="52"/>
        <v>0.20399952965435339</v>
      </c>
      <c r="AJ59" s="44">
        <f t="shared" si="53"/>
        <v>284.55228507245386</v>
      </c>
      <c r="AK59" s="44">
        <f t="shared" si="54"/>
        <v>1.1633910069961675</v>
      </c>
      <c r="AL59" s="44">
        <f t="shared" si="55"/>
        <v>7.9535599854181189</v>
      </c>
      <c r="AM59" s="44">
        <f t="shared" si="56"/>
        <v>94.987508344084304</v>
      </c>
      <c r="AN59" s="44">
        <f t="shared" si="57"/>
        <v>159.10984471660367</v>
      </c>
      <c r="AO59" s="44">
        <f t="shared" si="58"/>
        <v>555.7039700305977</v>
      </c>
      <c r="AP59" s="44">
        <f t="shared" si="59"/>
        <v>3498.3097690677132</v>
      </c>
      <c r="AQ59" s="44">
        <f t="shared" si="60"/>
        <v>150.53821735390019</v>
      </c>
      <c r="AR59" s="44">
        <f t="shared" si="61"/>
        <v>6335.8332744841055</v>
      </c>
      <c r="AS59" s="44">
        <f t="shared" si="62"/>
        <v>2870.1928288445092</v>
      </c>
      <c r="AT59" s="44">
        <f t="shared" si="63"/>
        <v>3730.5442707857937</v>
      </c>
      <c r="AU59" s="44">
        <f t="shared" si="64"/>
        <v>4545.2688698878856</v>
      </c>
      <c r="AV59" s="47">
        <f t="shared" si="65"/>
        <v>5318.1515368208766</v>
      </c>
      <c r="AW59" s="44">
        <f t="shared" si="66"/>
        <v>0.69253552182669353</v>
      </c>
      <c r="AX59" s="49">
        <f t="shared" si="67"/>
        <v>1.5236403866330039</v>
      </c>
      <c r="AY59" s="50">
        <f t="shared" si="68"/>
        <v>0.37084290811263376</v>
      </c>
      <c r="AZ59" s="44">
        <f t="shared" si="69"/>
        <v>19.555640620645391</v>
      </c>
      <c r="BA59" s="49">
        <f t="shared" si="70"/>
        <v>1.639932609940808</v>
      </c>
      <c r="BB59" s="51">
        <f t="shared" si="71"/>
        <v>3.1428743554744334</v>
      </c>
      <c r="BC59" s="52">
        <f t="shared" si="72"/>
        <v>-12.445841451754688</v>
      </c>
      <c r="BD59" s="51">
        <f t="shared" si="73"/>
        <v>-9.3029670962802555</v>
      </c>
      <c r="BE59" s="47">
        <f t="shared" si="74"/>
        <v>12.455974599884454</v>
      </c>
      <c r="BG59" s="48">
        <f t="shared" si="75"/>
        <v>3.3119760714532473E-2</v>
      </c>
      <c r="BH59" s="39" t="s">
        <v>168</v>
      </c>
      <c r="BJ59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37"/>
  <sheetViews>
    <sheetView tabSelected="1" workbookViewId="0">
      <pane ySplit="1080" activePane="bottomLeft"/>
      <selection activeCell="C1" sqref="C1:C1048576"/>
      <selection pane="bottomLeft" activeCell="A6" sqref="A6"/>
    </sheetView>
  </sheetViews>
  <sheetFormatPr baseColWidth="10" defaultColWidth="11" defaultRowHeight="16"/>
  <sheetData>
    <row r="1" spans="1:58" s="6" customFormat="1" ht="16" customHeight="1">
      <c r="A1" s="6" t="s">
        <v>93</v>
      </c>
      <c r="B1" s="6" t="s">
        <v>94</v>
      </c>
      <c r="C1" s="6" t="s">
        <v>95</v>
      </c>
      <c r="D1" s="6" t="s">
        <v>96</v>
      </c>
      <c r="E1" s="7" t="s">
        <v>97</v>
      </c>
      <c r="F1" s="6" t="s">
        <v>98</v>
      </c>
      <c r="G1" s="8" t="s">
        <v>99</v>
      </c>
      <c r="H1" s="6" t="s">
        <v>100</v>
      </c>
      <c r="I1" s="6" t="s">
        <v>101</v>
      </c>
      <c r="J1" s="6" t="s">
        <v>102</v>
      </c>
      <c r="K1" s="6" t="s">
        <v>103</v>
      </c>
      <c r="L1" s="6" t="s">
        <v>104</v>
      </c>
      <c r="M1" s="6" t="s">
        <v>105</v>
      </c>
      <c r="N1" s="6" t="s">
        <v>106</v>
      </c>
      <c r="O1" s="6" t="s">
        <v>107</v>
      </c>
      <c r="P1" s="6" t="s">
        <v>108</v>
      </c>
      <c r="Q1" s="6" t="s">
        <v>109</v>
      </c>
      <c r="R1" s="6" t="s">
        <v>110</v>
      </c>
      <c r="S1" s="6" t="s">
        <v>111</v>
      </c>
      <c r="T1" s="6" t="s">
        <v>112</v>
      </c>
      <c r="U1" s="6" t="s">
        <v>113</v>
      </c>
      <c r="V1" s="6" t="s">
        <v>114</v>
      </c>
      <c r="W1" s="6" t="s">
        <v>115</v>
      </c>
      <c r="X1" s="6" t="s">
        <v>116</v>
      </c>
      <c r="Y1" s="6" t="s">
        <v>117</v>
      </c>
      <c r="Z1" s="6" t="s">
        <v>118</v>
      </c>
      <c r="AA1" s="6" t="s">
        <v>119</v>
      </c>
      <c r="AB1" s="6" t="s">
        <v>120</v>
      </c>
      <c r="AC1" s="6" t="s">
        <v>121</v>
      </c>
      <c r="AD1" s="6" t="s">
        <v>122</v>
      </c>
      <c r="AE1" s="6" t="s">
        <v>123</v>
      </c>
      <c r="AF1" s="6" t="s">
        <v>124</v>
      </c>
      <c r="AG1" s="6" t="s">
        <v>125</v>
      </c>
      <c r="AH1" s="6" t="s">
        <v>126</v>
      </c>
      <c r="AI1" s="14" t="s">
        <v>127</v>
      </c>
      <c r="AJ1" s="14" t="s">
        <v>128</v>
      </c>
      <c r="AK1" s="14" t="s">
        <v>129</v>
      </c>
      <c r="AL1" s="14" t="s">
        <v>130</v>
      </c>
      <c r="AM1" s="14" t="s">
        <v>131</v>
      </c>
      <c r="AN1" s="14" t="s">
        <v>132</v>
      </c>
      <c r="AO1" s="14" t="s">
        <v>133</v>
      </c>
      <c r="AP1" s="14" t="s">
        <v>134</v>
      </c>
      <c r="AQ1" s="14" t="s">
        <v>135</v>
      </c>
      <c r="AR1" s="14" t="s">
        <v>136</v>
      </c>
      <c r="AS1" s="14" t="s">
        <v>137</v>
      </c>
      <c r="AT1" s="14" t="s">
        <v>138</v>
      </c>
      <c r="AU1" s="14" t="s">
        <v>139</v>
      </c>
      <c r="AV1" s="14" t="s">
        <v>140</v>
      </c>
      <c r="AW1" s="34" t="s">
        <v>141</v>
      </c>
      <c r="AX1" s="14" t="s">
        <v>142</v>
      </c>
      <c r="AY1" s="6" t="s">
        <v>143</v>
      </c>
      <c r="AZ1" s="6" t="s">
        <v>144</v>
      </c>
      <c r="BA1" s="14" t="s">
        <v>169</v>
      </c>
      <c r="BB1" s="35" t="s">
        <v>170</v>
      </c>
      <c r="BC1" s="6" t="s">
        <v>147</v>
      </c>
      <c r="BD1" s="36" t="s">
        <v>148</v>
      </c>
      <c r="BE1" s="6" t="s">
        <v>149</v>
      </c>
      <c r="BF1" s="6" t="s">
        <v>171</v>
      </c>
    </row>
    <row r="2" spans="1:58" s="6" customFormat="1" ht="16" customHeight="1">
      <c r="E2" s="34"/>
      <c r="G2" s="34"/>
      <c r="H2" s="6" t="s">
        <v>151</v>
      </c>
      <c r="I2" s="6" t="s">
        <v>152</v>
      </c>
      <c r="J2" s="6" t="s">
        <v>153</v>
      </c>
      <c r="K2" s="6" t="s">
        <v>153</v>
      </c>
      <c r="L2" s="6" t="s">
        <v>153</v>
      </c>
      <c r="M2" s="6" t="s">
        <v>153</v>
      </c>
      <c r="N2" s="6" t="s">
        <v>153</v>
      </c>
      <c r="O2" s="6" t="s">
        <v>153</v>
      </c>
      <c r="P2" s="6" t="s">
        <v>153</v>
      </c>
      <c r="Q2" s="6" t="s">
        <v>153</v>
      </c>
      <c r="R2" s="6" t="s">
        <v>153</v>
      </c>
      <c r="S2" s="6" t="s">
        <v>153</v>
      </c>
      <c r="T2" s="6" t="s">
        <v>153</v>
      </c>
      <c r="U2" s="6" t="s">
        <v>153</v>
      </c>
      <c r="V2" s="6" t="s">
        <v>153</v>
      </c>
      <c r="W2" s="6" t="s">
        <v>153</v>
      </c>
      <c r="X2" s="6" t="s">
        <v>153</v>
      </c>
      <c r="Y2" s="6" t="s">
        <v>153</v>
      </c>
      <c r="Z2" s="6" t="s">
        <v>153</v>
      </c>
      <c r="AA2" s="6" t="s">
        <v>153</v>
      </c>
      <c r="AB2" s="6" t="s">
        <v>153</v>
      </c>
      <c r="AC2" s="6" t="s">
        <v>153</v>
      </c>
      <c r="AD2" s="6" t="s">
        <v>153</v>
      </c>
      <c r="AE2" s="6" t="s">
        <v>153</v>
      </c>
      <c r="AF2" s="6" t="s">
        <v>153</v>
      </c>
      <c r="AG2" s="6" t="s">
        <v>153</v>
      </c>
      <c r="AH2" s="6" t="s">
        <v>153</v>
      </c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34"/>
      <c r="AX2" s="34"/>
      <c r="BA2" s="14" t="s">
        <v>154</v>
      </c>
    </row>
    <row r="3" spans="1:58" s="6" customFormat="1" ht="16" customHeight="1">
      <c r="A3" s="14" t="s">
        <v>208</v>
      </c>
      <c r="D3" s="24"/>
      <c r="E3" s="24"/>
      <c r="AI3" s="23"/>
      <c r="AJ3" s="23"/>
      <c r="AK3" s="23"/>
      <c r="AL3" s="23"/>
      <c r="AM3" s="24"/>
      <c r="AN3" s="29"/>
      <c r="AO3" s="24"/>
      <c r="AP3" s="24"/>
      <c r="AQ3" s="24"/>
      <c r="AS3" s="24"/>
      <c r="AU3" s="24"/>
      <c r="AV3" s="24"/>
      <c r="AW3" s="29"/>
    </row>
    <row r="4" spans="1:58" s="6" customFormat="1" ht="16" customHeight="1">
      <c r="A4" s="6" t="s">
        <v>172</v>
      </c>
      <c r="B4" s="6" t="s">
        <v>173</v>
      </c>
      <c r="C4" s="6" t="s">
        <v>174</v>
      </c>
      <c r="D4" s="24">
        <v>3.3405808696775026</v>
      </c>
      <c r="E4" s="24">
        <v>500</v>
      </c>
      <c r="F4" s="6">
        <v>0.75</v>
      </c>
      <c r="G4" s="6">
        <v>0.85</v>
      </c>
      <c r="H4" s="17">
        <f t="shared" ref="H4:H37" si="0">((-4800+(0.4748*(E4-1000)))/(LOG(K4)-5.711-LOG(F4)+LOG(G4)))</f>
        <v>1021.2947542732645</v>
      </c>
      <c r="I4" s="17">
        <f t="shared" ref="I4:I37" si="1">H4-273</f>
        <v>748.29475427326452</v>
      </c>
      <c r="J4" s="6">
        <v>112</v>
      </c>
      <c r="K4" s="6">
        <v>5.3</v>
      </c>
      <c r="M4" s="6">
        <v>534</v>
      </c>
      <c r="Q4" s="6">
        <v>50.7</v>
      </c>
      <c r="R4" s="6">
        <v>71.099999999999994</v>
      </c>
      <c r="S4" s="17">
        <f t="shared" ref="S4:S37" si="2">Q4*EXP(0.000049502*D4)</f>
        <v>50.70838472076688</v>
      </c>
      <c r="T4" s="20">
        <f t="shared" ref="T4:T37" si="3">R4*(EXP(D4*0.000000000155125*1000000)+0.0072*EXP(D4*0.00000000098485*1000000))</f>
        <v>71.65046108462046</v>
      </c>
      <c r="U4" s="6">
        <v>-3.29E-3</v>
      </c>
      <c r="V4" s="6">
        <v>7.85</v>
      </c>
      <c r="W4" s="6">
        <v>6.4000000000000001E-2</v>
      </c>
      <c r="X4" s="6">
        <v>1.22</v>
      </c>
      <c r="Y4" s="6">
        <v>2.5499999999999998</v>
      </c>
      <c r="Z4" s="6">
        <v>0.74</v>
      </c>
      <c r="AA4" s="6">
        <v>10.5</v>
      </c>
      <c r="AB4" s="6">
        <v>3.27</v>
      </c>
      <c r="AC4" s="6">
        <v>37</v>
      </c>
      <c r="AE4" s="6">
        <v>64.8</v>
      </c>
      <c r="AG4" s="6">
        <v>167.1</v>
      </c>
      <c r="AH4" s="6">
        <v>32.200000000000003</v>
      </c>
      <c r="AI4" s="23">
        <f t="shared" ref="AI4:AI37" si="4">U4/0.237</f>
        <v>-1.3881856540084388E-2</v>
      </c>
      <c r="AJ4" s="23">
        <f t="shared" ref="AJ4:AJ37" si="5">V4/0.613</f>
        <v>12.805872756933116</v>
      </c>
      <c r="AK4" s="23">
        <f t="shared" ref="AK4:AK37" si="6">W4/0.0928</f>
        <v>0.68965517241379315</v>
      </c>
      <c r="AL4" s="23">
        <f t="shared" ref="AL4:AL37" si="7">X4/0.457</f>
        <v>2.6695842450765861</v>
      </c>
      <c r="AM4" s="24">
        <f t="shared" ref="AM4:AM37" si="8">Y4/0.148</f>
        <v>17.22972972972973</v>
      </c>
      <c r="AN4" s="29">
        <f t="shared" ref="AN4:AN37" si="9">Z4/0.0563</f>
        <v>13.14387211367673</v>
      </c>
      <c r="AO4" s="24">
        <f t="shared" ref="AO4:AO37" si="10">AA4/0.199</f>
        <v>52.763819095477388</v>
      </c>
      <c r="AP4" s="24">
        <f t="shared" ref="AP4:AP37" si="11">AB4/0.0361</f>
        <v>90.581717451523545</v>
      </c>
      <c r="AQ4" s="24">
        <f t="shared" ref="AQ4:AQ37" si="12">AC4/0.246</f>
        <v>150.40650406504065</v>
      </c>
      <c r="AS4" s="24">
        <f t="shared" ref="AS4:AS37" si="13">AE4/0.16</f>
        <v>405</v>
      </c>
      <c r="AU4" s="24">
        <f t="shared" ref="AU4:AU37" si="14">AG4/0.161</f>
        <v>1037.8881987577638</v>
      </c>
      <c r="AV4" s="24">
        <f t="shared" ref="AV4:AV37" si="15">AH4/0.0246</f>
        <v>1308.9430894308944</v>
      </c>
      <c r="AW4" s="29">
        <f t="shared" ref="AW4:AW37" si="16">AN4/10^(((0.5)*LOG(AO4))+((0.5)*LOG(AM4)))</f>
        <v>0.43592922061420231</v>
      </c>
      <c r="AX4" s="25">
        <f t="shared" ref="AX4:AX37" si="17">(AW4/AU4)*(10^4)</f>
        <v>4.2001558658819018</v>
      </c>
      <c r="AY4" s="26">
        <f t="shared" ref="AY4:AY37" si="18">V4/T4</f>
        <v>0.10955965783289254</v>
      </c>
      <c r="AZ4" s="23">
        <f t="shared" ref="AZ4:AZ37" si="19">T4/K4</f>
        <v>13.518954921626502</v>
      </c>
      <c r="BA4" s="25">
        <f t="shared" ref="BA4:BA37" si="20">AY4*(AZ4^0.5)</f>
        <v>0.40283039035554552</v>
      </c>
      <c r="BB4" s="37">
        <f t="shared" ref="BB4:BB37" si="21">((3.998*LOG(BA4))+2.284)</f>
        <v>0.70527866430181496</v>
      </c>
      <c r="BC4" s="23">
        <f t="shared" ref="BC4:BC37" si="22">((-587474)+(1584.427*H4)-(203.3164*H4*LN(H4))+(0.09271*(H4^2)))/(8.314511*H4*LN(10))</f>
        <v>-15.923720681928771</v>
      </c>
      <c r="BD4" s="38">
        <f t="shared" ref="BD4:BD37" si="23">((3.997*LOG(BA4))+2.272)+BC4</f>
        <v>-15.230047139854145</v>
      </c>
      <c r="BE4" s="24">
        <f t="shared" ref="BE4:BE37" si="24">1000*(AJ4/AL4)/M4</f>
        <v>8.9830598789194358</v>
      </c>
    </row>
    <row r="5" spans="1:58" s="6" customFormat="1" ht="16" customHeight="1">
      <c r="A5" s="6" t="s">
        <v>172</v>
      </c>
      <c r="B5" s="6" t="s">
        <v>173</v>
      </c>
      <c r="C5" s="6" t="s">
        <v>190</v>
      </c>
      <c r="D5" s="24">
        <v>3.6</v>
      </c>
      <c r="E5" s="24">
        <v>500</v>
      </c>
      <c r="F5" s="6">
        <v>0.75</v>
      </c>
      <c r="G5" s="6">
        <v>0.85</v>
      </c>
      <c r="H5" s="17">
        <f t="shared" si="0"/>
        <v>1039.9838677439964</v>
      </c>
      <c r="I5" s="17">
        <f t="shared" si="1"/>
        <v>766.98386774399637</v>
      </c>
      <c r="J5" s="6">
        <v>140</v>
      </c>
      <c r="K5" s="6">
        <v>6.5</v>
      </c>
      <c r="M5" s="6">
        <v>351</v>
      </c>
      <c r="Q5" s="6">
        <v>30.4</v>
      </c>
      <c r="R5" s="6">
        <v>50</v>
      </c>
      <c r="S5" s="17">
        <f t="shared" si="2"/>
        <v>30.405417981627327</v>
      </c>
      <c r="T5" s="20">
        <f t="shared" si="3"/>
        <v>50.389208929039619</v>
      </c>
      <c r="U5" s="6">
        <v>-3.4009999999999999E-3</v>
      </c>
      <c r="V5" s="6">
        <v>7.04</v>
      </c>
      <c r="W5" s="6">
        <v>8.9999999999999993E-3</v>
      </c>
      <c r="X5" s="6">
        <v>0.2</v>
      </c>
      <c r="Y5" s="6">
        <v>0.67</v>
      </c>
      <c r="Z5" s="6">
        <v>0.30299999999999999</v>
      </c>
      <c r="AA5" s="6">
        <v>5.24</v>
      </c>
      <c r="AB5" s="6">
        <v>1.67</v>
      </c>
      <c r="AC5" s="6">
        <v>18.8</v>
      </c>
      <c r="AE5" s="6">
        <v>36.299999999999997</v>
      </c>
      <c r="AG5" s="6">
        <v>93.5</v>
      </c>
      <c r="AH5" s="6">
        <v>18.97</v>
      </c>
      <c r="AI5" s="23">
        <f t="shared" si="4"/>
        <v>-1.4350210970464135E-2</v>
      </c>
      <c r="AJ5" s="23">
        <f t="shared" si="5"/>
        <v>11.484502446982056</v>
      </c>
      <c r="AK5" s="23">
        <f t="shared" si="6"/>
        <v>9.6982758620689655E-2</v>
      </c>
      <c r="AL5" s="23">
        <f t="shared" si="7"/>
        <v>0.43763676148796499</v>
      </c>
      <c r="AM5" s="24">
        <f t="shared" si="8"/>
        <v>4.5270270270270272</v>
      </c>
      <c r="AN5" s="29">
        <f t="shared" si="9"/>
        <v>5.3818827708703374</v>
      </c>
      <c r="AO5" s="24">
        <f t="shared" si="10"/>
        <v>26.331658291457288</v>
      </c>
      <c r="AP5" s="24">
        <f t="shared" si="11"/>
        <v>46.260387811634345</v>
      </c>
      <c r="AQ5" s="24">
        <f t="shared" si="12"/>
        <v>76.422764227642276</v>
      </c>
      <c r="AS5" s="24">
        <f t="shared" si="13"/>
        <v>226.87499999999997</v>
      </c>
      <c r="AU5" s="24">
        <f t="shared" si="14"/>
        <v>580.74534161490681</v>
      </c>
      <c r="AV5" s="24">
        <f t="shared" si="15"/>
        <v>771.13821138211381</v>
      </c>
      <c r="AW5" s="29">
        <f t="shared" si="16"/>
        <v>0.4929337845379706</v>
      </c>
      <c r="AX5" s="25">
        <f t="shared" si="17"/>
        <v>8.4879507284078368</v>
      </c>
      <c r="AY5" s="26">
        <f t="shared" si="18"/>
        <v>0.1397124533134475</v>
      </c>
      <c r="AZ5" s="23">
        <f t="shared" si="19"/>
        <v>7.752185989083018</v>
      </c>
      <c r="BA5" s="25">
        <f t="shared" si="20"/>
        <v>0.38899785867052922</v>
      </c>
      <c r="BB5" s="37">
        <f t="shared" si="21"/>
        <v>0.64460894820663017</v>
      </c>
      <c r="BC5" s="23">
        <f t="shared" si="22"/>
        <v>-15.485856741566101</v>
      </c>
      <c r="BD5" s="38">
        <f t="shared" si="23"/>
        <v>-14.852837740570127</v>
      </c>
      <c r="BE5" s="24">
        <f t="shared" si="24"/>
        <v>74.76378373605128</v>
      </c>
    </row>
    <row r="6" spans="1:58" s="6" customFormat="1" ht="16" customHeight="1">
      <c r="A6" s="6" t="s">
        <v>172</v>
      </c>
      <c r="B6" s="6" t="s">
        <v>173</v>
      </c>
      <c r="C6" s="6" t="s">
        <v>175</v>
      </c>
      <c r="D6" s="24">
        <v>3.7</v>
      </c>
      <c r="E6" s="24">
        <v>500</v>
      </c>
      <c r="F6" s="6">
        <v>0.75</v>
      </c>
      <c r="G6" s="6">
        <v>0.85</v>
      </c>
      <c r="H6" s="17">
        <f t="shared" si="0"/>
        <v>1066.7612256525797</v>
      </c>
      <c r="I6" s="17">
        <f t="shared" si="1"/>
        <v>793.7612256525797</v>
      </c>
      <c r="J6" s="6">
        <v>136</v>
      </c>
      <c r="K6" s="6">
        <v>8.6</v>
      </c>
      <c r="M6" s="6">
        <v>458</v>
      </c>
      <c r="Q6" s="6">
        <v>34.299999999999997</v>
      </c>
      <c r="R6" s="6">
        <v>47.3</v>
      </c>
      <c r="S6" s="17">
        <f t="shared" si="2"/>
        <v>34.306282874179885</v>
      </c>
      <c r="T6" s="20">
        <f t="shared" si="3"/>
        <v>47.668959464523091</v>
      </c>
      <c r="U6" s="6">
        <v>0.01</v>
      </c>
      <c r="V6" s="6">
        <v>7.57</v>
      </c>
      <c r="W6" s="6">
        <v>6.7000000000000002E-3</v>
      </c>
      <c r="X6" s="6">
        <v>0.65</v>
      </c>
      <c r="Y6" s="6">
        <v>1.3</v>
      </c>
      <c r="Z6" s="6">
        <v>0.53</v>
      </c>
      <c r="AA6" s="6">
        <v>9.14</v>
      </c>
      <c r="AB6" s="6">
        <v>2.63</v>
      </c>
      <c r="AC6" s="6">
        <v>31.2</v>
      </c>
      <c r="AE6" s="6">
        <v>54</v>
      </c>
      <c r="AG6" s="6">
        <v>132.6</v>
      </c>
      <c r="AH6" s="6">
        <v>24.28</v>
      </c>
      <c r="AI6" s="23">
        <f t="shared" si="4"/>
        <v>4.2194092827004225E-2</v>
      </c>
      <c r="AJ6" s="23">
        <f t="shared" si="5"/>
        <v>12.349102773246329</v>
      </c>
      <c r="AK6" s="23">
        <f t="shared" si="6"/>
        <v>7.2198275862068978E-2</v>
      </c>
      <c r="AL6" s="23">
        <f t="shared" si="7"/>
        <v>1.4223194748358863</v>
      </c>
      <c r="AM6" s="24">
        <f t="shared" si="8"/>
        <v>8.7837837837837842</v>
      </c>
      <c r="AN6" s="29">
        <f t="shared" si="9"/>
        <v>9.4138543516873892</v>
      </c>
      <c r="AO6" s="24">
        <f t="shared" si="10"/>
        <v>45.929648241206031</v>
      </c>
      <c r="AP6" s="24">
        <f t="shared" si="11"/>
        <v>72.853185595567865</v>
      </c>
      <c r="AQ6" s="24">
        <f t="shared" si="12"/>
        <v>126.82926829268293</v>
      </c>
      <c r="AS6" s="24">
        <f t="shared" si="13"/>
        <v>337.5</v>
      </c>
      <c r="AU6" s="24">
        <f t="shared" si="14"/>
        <v>823.60248447204958</v>
      </c>
      <c r="AV6" s="24">
        <f t="shared" si="15"/>
        <v>986.99186991869919</v>
      </c>
      <c r="AW6" s="29">
        <f t="shared" si="16"/>
        <v>0.46868396639848969</v>
      </c>
      <c r="AX6" s="25">
        <f t="shared" si="17"/>
        <v>5.6906575105698982</v>
      </c>
      <c r="AY6" s="26">
        <f t="shared" si="18"/>
        <v>0.15880355025651147</v>
      </c>
      <c r="AZ6" s="23">
        <f t="shared" si="19"/>
        <v>5.5429022633166385</v>
      </c>
      <c r="BA6" s="25">
        <f t="shared" si="20"/>
        <v>0.37387705905006963</v>
      </c>
      <c r="BB6" s="37">
        <f t="shared" si="21"/>
        <v>0.57576981369397151</v>
      </c>
      <c r="BC6" s="23">
        <f t="shared" si="22"/>
        <v>-14.885519402676215</v>
      </c>
      <c r="BD6" s="38">
        <f t="shared" si="23"/>
        <v>-14.321322317800075</v>
      </c>
      <c r="BE6" s="24">
        <f t="shared" si="24"/>
        <v>18.957137948853113</v>
      </c>
    </row>
    <row r="7" spans="1:58" s="6" customFormat="1" ht="16" customHeight="1">
      <c r="A7" s="6" t="s">
        <v>172</v>
      </c>
      <c r="B7" s="6" t="s">
        <v>173</v>
      </c>
      <c r="C7" s="6" t="s">
        <v>176</v>
      </c>
      <c r="D7" s="24">
        <v>3.7</v>
      </c>
      <c r="E7" s="24">
        <v>500</v>
      </c>
      <c r="F7" s="6">
        <v>0.75</v>
      </c>
      <c r="G7" s="6">
        <v>0.85</v>
      </c>
      <c r="H7" s="17">
        <f t="shared" si="0"/>
        <v>1002.8320974419936</v>
      </c>
      <c r="I7" s="17">
        <f t="shared" si="1"/>
        <v>729.8320974419936</v>
      </c>
      <c r="J7" s="6">
        <v>159</v>
      </c>
      <c r="K7" s="6">
        <v>4.3</v>
      </c>
      <c r="M7" s="6">
        <v>488</v>
      </c>
      <c r="Q7" s="6">
        <v>61</v>
      </c>
      <c r="R7" s="6">
        <v>116.9</v>
      </c>
      <c r="S7" s="17">
        <f t="shared" si="2"/>
        <v>61.011173624634786</v>
      </c>
      <c r="T7" s="20">
        <f t="shared" si="3"/>
        <v>117.81186810576639</v>
      </c>
      <c r="U7" s="6">
        <v>-2.8969999999999998E-3</v>
      </c>
      <c r="V7" s="6">
        <v>8.1999999999999993</v>
      </c>
      <c r="W7" s="6">
        <v>1.2E-2</v>
      </c>
      <c r="X7" s="6">
        <v>0.54</v>
      </c>
      <c r="Y7" s="6">
        <v>1.03</v>
      </c>
      <c r="Z7" s="6">
        <v>0.45</v>
      </c>
      <c r="AA7" s="6">
        <v>7.8</v>
      </c>
      <c r="AB7" s="6">
        <v>2.48</v>
      </c>
      <c r="AC7" s="6">
        <v>30.8</v>
      </c>
      <c r="AE7" s="6">
        <v>60.4</v>
      </c>
      <c r="AG7" s="6">
        <v>176.1</v>
      </c>
      <c r="AH7" s="6">
        <v>34.4</v>
      </c>
      <c r="AI7" s="23">
        <f t="shared" si="4"/>
        <v>-1.2223628691983122E-2</v>
      </c>
      <c r="AJ7" s="23">
        <f t="shared" si="5"/>
        <v>13.376835236541599</v>
      </c>
      <c r="AK7" s="23">
        <f t="shared" si="6"/>
        <v>0.12931034482758622</v>
      </c>
      <c r="AL7" s="23">
        <f t="shared" si="7"/>
        <v>1.1816192560175054</v>
      </c>
      <c r="AM7" s="24">
        <f t="shared" si="8"/>
        <v>6.9594594594594597</v>
      </c>
      <c r="AN7" s="29">
        <f t="shared" si="9"/>
        <v>7.9928952042628776</v>
      </c>
      <c r="AO7" s="24">
        <f t="shared" si="10"/>
        <v>39.195979899497488</v>
      </c>
      <c r="AP7" s="24">
        <f t="shared" si="11"/>
        <v>68.69806094182826</v>
      </c>
      <c r="AQ7" s="24">
        <f t="shared" si="12"/>
        <v>125.20325203252033</v>
      </c>
      <c r="AS7" s="24">
        <f t="shared" si="13"/>
        <v>377.5</v>
      </c>
      <c r="AU7" s="24">
        <f t="shared" si="14"/>
        <v>1093.7888198757764</v>
      </c>
      <c r="AV7" s="24">
        <f t="shared" si="15"/>
        <v>1398.3739837398373</v>
      </c>
      <c r="AW7" s="29">
        <f t="shared" si="16"/>
        <v>0.48394454751095145</v>
      </c>
      <c r="AX7" s="25">
        <f t="shared" si="17"/>
        <v>4.4244788273289712</v>
      </c>
      <c r="AY7" s="26">
        <f t="shared" si="18"/>
        <v>6.9602495332969291E-2</v>
      </c>
      <c r="AZ7" s="23">
        <f t="shared" si="19"/>
        <v>27.39810886180614</v>
      </c>
      <c r="BA7" s="25">
        <f t="shared" si="20"/>
        <v>0.36432175331331818</v>
      </c>
      <c r="BB7" s="37">
        <f t="shared" si="21"/>
        <v>0.53081744313744483</v>
      </c>
      <c r="BC7" s="23">
        <f t="shared" si="22"/>
        <v>-16.3725478280763</v>
      </c>
      <c r="BD7" s="38">
        <f t="shared" si="23"/>
        <v>-15.853291870042192</v>
      </c>
      <c r="BE7" s="24">
        <f t="shared" si="24"/>
        <v>23.198291223055218</v>
      </c>
    </row>
    <row r="8" spans="1:58" s="6" customFormat="1" ht="16" customHeight="1">
      <c r="A8" s="6" t="s">
        <v>172</v>
      </c>
      <c r="B8" s="6" t="s">
        <v>173</v>
      </c>
      <c r="C8" s="6" t="s">
        <v>177</v>
      </c>
      <c r="D8" s="24">
        <v>3.7618681767639344</v>
      </c>
      <c r="E8" s="24">
        <v>500</v>
      </c>
      <c r="F8" s="6">
        <v>0.75</v>
      </c>
      <c r="G8" s="6">
        <v>0.85</v>
      </c>
      <c r="H8" s="17">
        <f t="shared" si="0"/>
        <v>1019.5847148666529</v>
      </c>
      <c r="I8" s="17">
        <f t="shared" si="1"/>
        <v>746.58471486665292</v>
      </c>
      <c r="J8" s="6">
        <v>101</v>
      </c>
      <c r="K8" s="6">
        <v>5.2</v>
      </c>
      <c r="M8" s="6">
        <v>320.8</v>
      </c>
      <c r="Q8" s="6">
        <v>40.299999999999997</v>
      </c>
      <c r="R8" s="6">
        <v>75.7</v>
      </c>
      <c r="S8" s="17">
        <f t="shared" si="2"/>
        <v>40.307505364741807</v>
      </c>
      <c r="T8" s="20">
        <f t="shared" si="3"/>
        <v>76.291251419761892</v>
      </c>
      <c r="U8" s="6">
        <v>-3.13E-3</v>
      </c>
      <c r="V8" s="6">
        <v>7.43</v>
      </c>
      <c r="W8" s="6">
        <v>3.2000000000000002E-3</v>
      </c>
      <c r="X8" s="6">
        <v>0.24</v>
      </c>
      <c r="Y8" s="6">
        <v>0.34</v>
      </c>
      <c r="Z8" s="6">
        <v>0.22800000000000001</v>
      </c>
      <c r="AA8" s="6">
        <v>3.61</v>
      </c>
      <c r="AB8" s="6">
        <v>1.43</v>
      </c>
      <c r="AC8" s="6">
        <v>17.100000000000001</v>
      </c>
      <c r="AE8" s="6">
        <v>33.5</v>
      </c>
      <c r="AG8" s="6">
        <v>93.4</v>
      </c>
      <c r="AH8" s="6">
        <v>18.84</v>
      </c>
      <c r="AI8" s="23">
        <f t="shared" si="4"/>
        <v>-1.3206751054852322E-2</v>
      </c>
      <c r="AJ8" s="23">
        <f t="shared" si="5"/>
        <v>12.120717781402936</v>
      </c>
      <c r="AK8" s="23">
        <f t="shared" si="6"/>
        <v>3.4482758620689662E-2</v>
      </c>
      <c r="AL8" s="23">
        <f t="shared" si="7"/>
        <v>0.52516411378555794</v>
      </c>
      <c r="AM8" s="24">
        <f t="shared" si="8"/>
        <v>2.2972972972972974</v>
      </c>
      <c r="AN8" s="29">
        <f t="shared" si="9"/>
        <v>4.0497335701598578</v>
      </c>
      <c r="AO8" s="24">
        <f t="shared" si="10"/>
        <v>18.140703517587937</v>
      </c>
      <c r="AP8" s="24">
        <f t="shared" si="11"/>
        <v>39.612188365650965</v>
      </c>
      <c r="AQ8" s="24">
        <f t="shared" si="12"/>
        <v>69.512195121951223</v>
      </c>
      <c r="AS8" s="24">
        <f t="shared" si="13"/>
        <v>209.375</v>
      </c>
      <c r="AU8" s="24">
        <f t="shared" si="14"/>
        <v>580.12422360248445</v>
      </c>
      <c r="AV8" s="24">
        <f t="shared" si="15"/>
        <v>765.85365853658539</v>
      </c>
      <c r="AW8" s="29">
        <f t="shared" si="16"/>
        <v>0.62732239028222969</v>
      </c>
      <c r="AX8" s="25">
        <f t="shared" si="17"/>
        <v>10.813587241481692</v>
      </c>
      <c r="AY8" s="26">
        <f t="shared" si="18"/>
        <v>9.7389934779276544E-2</v>
      </c>
      <c r="AZ8" s="23">
        <f t="shared" si="19"/>
        <v>14.671394503800363</v>
      </c>
      <c r="BA8" s="25">
        <f t="shared" si="20"/>
        <v>0.37303516420398902</v>
      </c>
      <c r="BB8" s="37">
        <f t="shared" si="21"/>
        <v>0.57185559069166714</v>
      </c>
      <c r="BC8" s="23">
        <f t="shared" si="22"/>
        <v>-15.964597696987326</v>
      </c>
      <c r="BD8" s="38">
        <f t="shared" si="23"/>
        <v>-15.404313856068217</v>
      </c>
      <c r="BE8" s="24">
        <f t="shared" si="24"/>
        <v>71.944721868520645</v>
      </c>
    </row>
    <row r="9" spans="1:58" s="6" customFormat="1" ht="16" customHeight="1">
      <c r="A9" s="6" t="s">
        <v>172</v>
      </c>
      <c r="B9" s="6" t="s">
        <v>173</v>
      </c>
      <c r="C9" s="6" t="s">
        <v>178</v>
      </c>
      <c r="D9" s="24">
        <v>4.0999999999999996</v>
      </c>
      <c r="E9" s="24">
        <v>500</v>
      </c>
      <c r="F9" s="6">
        <v>0.75</v>
      </c>
      <c r="G9" s="6">
        <v>0.85</v>
      </c>
      <c r="H9" s="17">
        <f t="shared" si="0"/>
        <v>1017.8473531071609</v>
      </c>
      <c r="I9" s="17">
        <f t="shared" si="1"/>
        <v>744.84735310716087</v>
      </c>
      <c r="J9" s="6">
        <v>147</v>
      </c>
      <c r="K9" s="6">
        <v>5.0999999999999996</v>
      </c>
      <c r="M9" s="6">
        <v>403</v>
      </c>
      <c r="Q9" s="6">
        <v>48.6</v>
      </c>
      <c r="R9" s="6">
        <v>81.5</v>
      </c>
      <c r="S9" s="17">
        <f t="shared" si="2"/>
        <v>48.609864769554079</v>
      </c>
      <c r="T9" s="20">
        <f t="shared" si="3"/>
        <v>82.141025727213147</v>
      </c>
      <c r="U9" s="6">
        <v>0.3</v>
      </c>
      <c r="V9" s="6">
        <v>9.56</v>
      </c>
      <c r="W9" s="6">
        <v>5.6000000000000001E-2</v>
      </c>
      <c r="X9" s="6">
        <v>0.8</v>
      </c>
      <c r="Y9" s="6">
        <v>1.03</v>
      </c>
      <c r="Z9" s="6">
        <v>0.34</v>
      </c>
      <c r="AA9" s="6">
        <v>6.17</v>
      </c>
      <c r="AB9" s="6">
        <v>1.99</v>
      </c>
      <c r="AC9" s="6">
        <v>26.1</v>
      </c>
      <c r="AE9" s="6">
        <v>49.2</v>
      </c>
      <c r="AG9" s="6">
        <v>134.1</v>
      </c>
      <c r="AH9" s="6">
        <v>26.7</v>
      </c>
      <c r="AI9" s="23">
        <f t="shared" si="4"/>
        <v>1.2658227848101267</v>
      </c>
      <c r="AJ9" s="23">
        <f t="shared" si="5"/>
        <v>15.595432300163134</v>
      </c>
      <c r="AK9" s="23">
        <f t="shared" si="6"/>
        <v>0.60344827586206906</v>
      </c>
      <c r="AL9" s="23">
        <f t="shared" si="7"/>
        <v>1.7505470459518599</v>
      </c>
      <c r="AM9" s="24">
        <f t="shared" si="8"/>
        <v>6.9594594594594597</v>
      </c>
      <c r="AN9" s="29">
        <f t="shared" si="9"/>
        <v>6.0390763765541742</v>
      </c>
      <c r="AO9" s="24">
        <f t="shared" si="10"/>
        <v>31.005025125628137</v>
      </c>
      <c r="AP9" s="24">
        <f t="shared" si="11"/>
        <v>55.124653739612185</v>
      </c>
      <c r="AQ9" s="24">
        <f t="shared" si="12"/>
        <v>106.09756097560977</v>
      </c>
      <c r="AS9" s="24">
        <f t="shared" si="13"/>
        <v>307.5</v>
      </c>
      <c r="AU9" s="24">
        <f t="shared" si="14"/>
        <v>832.91925465838506</v>
      </c>
      <c r="AV9" s="24">
        <f t="shared" si="15"/>
        <v>1085.3658536585365</v>
      </c>
      <c r="AW9" s="29">
        <f t="shared" si="16"/>
        <v>0.41111821942071808</v>
      </c>
      <c r="AX9" s="25">
        <f t="shared" si="17"/>
        <v>4.9358712398758851</v>
      </c>
      <c r="AY9" s="26">
        <f t="shared" si="18"/>
        <v>0.11638520356135257</v>
      </c>
      <c r="AZ9" s="23">
        <f t="shared" si="19"/>
        <v>16.106083475924148</v>
      </c>
      <c r="BA9" s="25">
        <f t="shared" si="20"/>
        <v>0.46708158292439972</v>
      </c>
      <c r="BB9" s="37">
        <f t="shared" si="21"/>
        <v>0.96223218790769205</v>
      </c>
      <c r="BC9" s="23">
        <f t="shared" si="22"/>
        <v>-16.006270640322754</v>
      </c>
      <c r="BD9" s="38">
        <f t="shared" si="23"/>
        <v>-15.055707845158411</v>
      </c>
      <c r="BE9" s="24">
        <f t="shared" si="24"/>
        <v>22.106428539623302</v>
      </c>
    </row>
    <row r="10" spans="1:58" s="6" customFormat="1" ht="16" customHeight="1">
      <c r="A10" s="6" t="s">
        <v>172</v>
      </c>
      <c r="B10" s="6" t="s">
        <v>173</v>
      </c>
      <c r="C10" s="6" t="s">
        <v>179</v>
      </c>
      <c r="D10" s="24">
        <v>4.2</v>
      </c>
      <c r="E10" s="24">
        <v>500</v>
      </c>
      <c r="F10" s="6">
        <v>0.75</v>
      </c>
      <c r="G10" s="6">
        <v>0.85</v>
      </c>
      <c r="H10" s="17">
        <f t="shared" si="0"/>
        <v>1121.3435866731654</v>
      </c>
      <c r="I10" s="17">
        <f t="shared" si="1"/>
        <v>848.34358667316542</v>
      </c>
      <c r="J10" s="6">
        <v>132</v>
      </c>
      <c r="K10" s="6">
        <v>14.6</v>
      </c>
      <c r="M10" s="6">
        <v>454</v>
      </c>
      <c r="Q10" s="6">
        <v>35.299999999999997</v>
      </c>
      <c r="R10" s="6">
        <v>52.3</v>
      </c>
      <c r="S10" s="17">
        <f t="shared" si="2"/>
        <v>35.307339929510057</v>
      </c>
      <c r="T10" s="20">
        <f t="shared" si="3"/>
        <v>52.712206677510039</v>
      </c>
      <c r="U10" s="6">
        <v>-3.15E-3</v>
      </c>
      <c r="V10" s="6">
        <v>9.36</v>
      </c>
      <c r="W10" s="6">
        <v>-2.6410000000000001E-3</v>
      </c>
      <c r="X10" s="6">
        <v>0.44</v>
      </c>
      <c r="Y10" s="6">
        <v>1.34</v>
      </c>
      <c r="Z10" s="6">
        <v>0.41099999999999998</v>
      </c>
      <c r="AA10" s="6">
        <v>7.3</v>
      </c>
      <c r="AB10" s="6">
        <v>2.78</v>
      </c>
      <c r="AC10" s="6">
        <v>31.7</v>
      </c>
      <c r="AE10" s="6">
        <v>54.4</v>
      </c>
      <c r="AG10" s="6">
        <v>118.5</v>
      </c>
      <c r="AH10" s="6">
        <v>20.73</v>
      </c>
      <c r="AI10" s="23">
        <f t="shared" si="4"/>
        <v>-1.3291139240506331E-2</v>
      </c>
      <c r="AJ10" s="23">
        <f t="shared" si="5"/>
        <v>15.269168026101141</v>
      </c>
      <c r="AK10" s="23">
        <f t="shared" si="6"/>
        <v>-2.8459051724137933E-2</v>
      </c>
      <c r="AL10" s="23">
        <f t="shared" si="7"/>
        <v>0.96280087527352298</v>
      </c>
      <c r="AM10" s="24">
        <f t="shared" si="8"/>
        <v>9.0540540540540544</v>
      </c>
      <c r="AN10" s="29">
        <f t="shared" si="9"/>
        <v>7.300177619893427</v>
      </c>
      <c r="AO10" s="24">
        <f t="shared" si="10"/>
        <v>36.683417085427131</v>
      </c>
      <c r="AP10" s="24">
        <f t="shared" si="11"/>
        <v>77.00831024930747</v>
      </c>
      <c r="AQ10" s="24">
        <f t="shared" si="12"/>
        <v>128.86178861788619</v>
      </c>
      <c r="AS10" s="24">
        <f t="shared" si="13"/>
        <v>340</v>
      </c>
      <c r="AU10" s="24">
        <f t="shared" si="14"/>
        <v>736.02484472049684</v>
      </c>
      <c r="AV10" s="24">
        <f t="shared" si="15"/>
        <v>842.68292682926835</v>
      </c>
      <c r="AW10" s="29">
        <f t="shared" si="16"/>
        <v>0.40056868404050933</v>
      </c>
      <c r="AX10" s="25">
        <f t="shared" si="17"/>
        <v>5.4423255806347681</v>
      </c>
      <c r="AY10" s="26">
        <f t="shared" si="18"/>
        <v>0.17756797884148334</v>
      </c>
      <c r="AZ10" s="23">
        <f t="shared" si="19"/>
        <v>3.6104251148979478</v>
      </c>
      <c r="BA10" s="25">
        <f t="shared" si="20"/>
        <v>0.33739902415960699</v>
      </c>
      <c r="BB10" s="37">
        <f t="shared" si="21"/>
        <v>0.3975190010324523</v>
      </c>
      <c r="BC10" s="23">
        <f t="shared" si="22"/>
        <v>-13.750962586848376</v>
      </c>
      <c r="BD10" s="38">
        <f t="shared" si="23"/>
        <v>-13.364971729638093</v>
      </c>
      <c r="BE10" s="24">
        <f t="shared" si="24"/>
        <v>34.931967300401588</v>
      </c>
    </row>
    <row r="11" spans="1:58" s="6" customFormat="1" ht="16" customHeight="1">
      <c r="A11" s="6" t="s">
        <v>172</v>
      </c>
      <c r="B11" s="6" t="s">
        <v>173</v>
      </c>
      <c r="C11" s="6" t="s">
        <v>191</v>
      </c>
      <c r="D11" s="24">
        <v>4.3</v>
      </c>
      <c r="E11" s="24">
        <v>500</v>
      </c>
      <c r="F11" s="6">
        <v>0.75</v>
      </c>
      <c r="G11" s="6">
        <v>0.85</v>
      </c>
      <c r="H11" s="17">
        <f t="shared" si="0"/>
        <v>1097.8419489045364</v>
      </c>
      <c r="I11" s="17">
        <f t="shared" si="1"/>
        <v>824.84194890453637</v>
      </c>
      <c r="J11" s="6">
        <v>251</v>
      </c>
      <c r="K11" s="6">
        <v>11.7</v>
      </c>
      <c r="M11" s="6">
        <v>841</v>
      </c>
      <c r="Q11" s="6">
        <v>95.9</v>
      </c>
      <c r="R11" s="6">
        <v>144.4</v>
      </c>
      <c r="S11" s="17">
        <f t="shared" si="2"/>
        <v>95.920415312450345</v>
      </c>
      <c r="T11" s="20">
        <f t="shared" si="3"/>
        <v>145.54044457677119</v>
      </c>
      <c r="U11" s="6">
        <v>-3.96E-3</v>
      </c>
      <c r="V11" s="6">
        <v>11.7</v>
      </c>
      <c r="W11" s="6">
        <v>2.1000000000000001E-2</v>
      </c>
      <c r="X11" s="6">
        <v>1.38</v>
      </c>
      <c r="Y11" s="6">
        <v>2.54</v>
      </c>
      <c r="Z11" s="6">
        <v>1.04</v>
      </c>
      <c r="AA11" s="6">
        <v>10.8</v>
      </c>
      <c r="AB11" s="6">
        <v>4.1900000000000004</v>
      </c>
      <c r="AC11" s="6">
        <v>53.5</v>
      </c>
      <c r="AE11" s="6">
        <v>118.8</v>
      </c>
      <c r="AG11" s="6">
        <v>313.39999999999998</v>
      </c>
      <c r="AH11" s="6">
        <v>63.6</v>
      </c>
      <c r="AI11" s="23">
        <f t="shared" si="4"/>
        <v>-1.6708860759493672E-2</v>
      </c>
      <c r="AJ11" s="23">
        <f t="shared" si="5"/>
        <v>19.086460032626427</v>
      </c>
      <c r="AK11" s="23">
        <f t="shared" si="6"/>
        <v>0.22629310344827588</v>
      </c>
      <c r="AL11" s="23">
        <f t="shared" si="7"/>
        <v>3.0196936542669581</v>
      </c>
      <c r="AM11" s="24">
        <f t="shared" si="8"/>
        <v>17.162162162162165</v>
      </c>
      <c r="AN11" s="29">
        <f t="shared" si="9"/>
        <v>18.47246891651865</v>
      </c>
      <c r="AO11" s="24">
        <f t="shared" si="10"/>
        <v>54.2713567839196</v>
      </c>
      <c r="AP11" s="24">
        <f t="shared" si="11"/>
        <v>116.06648199445985</v>
      </c>
      <c r="AQ11" s="24">
        <f t="shared" si="12"/>
        <v>217.47967479674796</v>
      </c>
      <c r="AS11" s="24">
        <f t="shared" si="13"/>
        <v>742.5</v>
      </c>
      <c r="AU11" s="24">
        <f t="shared" si="14"/>
        <v>1946.5838509316768</v>
      </c>
      <c r="AV11" s="24">
        <f t="shared" si="15"/>
        <v>2585.3658536585367</v>
      </c>
      <c r="AW11" s="29">
        <f t="shared" si="16"/>
        <v>0.60527620960871753</v>
      </c>
      <c r="AX11" s="25">
        <f t="shared" si="17"/>
        <v>3.1094278796108341</v>
      </c>
      <c r="AY11" s="26">
        <f t="shared" si="18"/>
        <v>8.0390025150901337E-2</v>
      </c>
      <c r="AZ11" s="23">
        <f t="shared" si="19"/>
        <v>12.439354237330871</v>
      </c>
      <c r="BA11" s="25">
        <f t="shared" si="20"/>
        <v>0.28353134773936606</v>
      </c>
      <c r="BB11" s="37">
        <f t="shared" si="21"/>
        <v>9.5499126907729881E-2</v>
      </c>
      <c r="BC11" s="23">
        <f t="shared" si="22"/>
        <v>-14.225637102274044</v>
      </c>
      <c r="BD11" s="38">
        <f t="shared" si="23"/>
        <v>-14.141590576448582</v>
      </c>
      <c r="BE11" s="24">
        <f t="shared" si="24"/>
        <v>7.5156492744233718</v>
      </c>
    </row>
    <row r="12" spans="1:58" s="6" customFormat="1" ht="16" customHeight="1">
      <c r="A12" s="6" t="s">
        <v>172</v>
      </c>
      <c r="B12" s="6" t="s">
        <v>173</v>
      </c>
      <c r="C12" s="6" t="s">
        <v>192</v>
      </c>
      <c r="D12" s="24">
        <v>4.4000000000000004</v>
      </c>
      <c r="E12" s="24">
        <v>500</v>
      </c>
      <c r="F12" s="6">
        <v>0.75</v>
      </c>
      <c r="G12" s="6">
        <v>0.85</v>
      </c>
      <c r="H12" s="17">
        <f t="shared" si="0"/>
        <v>1094.2391842009984</v>
      </c>
      <c r="I12" s="17">
        <f t="shared" si="1"/>
        <v>821.23918420099835</v>
      </c>
      <c r="J12" s="6">
        <v>251</v>
      </c>
      <c r="K12" s="6">
        <v>11.3</v>
      </c>
      <c r="M12" s="6">
        <v>952</v>
      </c>
      <c r="Q12" s="6">
        <v>98</v>
      </c>
      <c r="R12" s="6">
        <v>103.5</v>
      </c>
      <c r="S12" s="17">
        <f t="shared" si="2"/>
        <v>98.021347587161785</v>
      </c>
      <c r="T12" s="20">
        <f t="shared" si="3"/>
        <v>104.31910425119837</v>
      </c>
      <c r="U12" s="6">
        <v>-4.0699999999999998E-3</v>
      </c>
      <c r="V12" s="6">
        <v>14.5</v>
      </c>
      <c r="W12" s="6">
        <v>7.1999999999999995E-2</v>
      </c>
      <c r="X12" s="6">
        <v>2.69</v>
      </c>
      <c r="Y12" s="6">
        <v>4.74</v>
      </c>
      <c r="Z12" s="6">
        <v>1.17</v>
      </c>
      <c r="AA12" s="6">
        <v>23.2</v>
      </c>
      <c r="AB12" s="6">
        <v>6.88</v>
      </c>
      <c r="AC12" s="6">
        <v>78.099999999999994</v>
      </c>
      <c r="AE12" s="6">
        <v>126.8</v>
      </c>
      <c r="AG12" s="6">
        <v>259</v>
      </c>
      <c r="AH12" s="6">
        <v>45.5</v>
      </c>
      <c r="AI12" s="23">
        <f t="shared" si="4"/>
        <v>-1.7172995780590717E-2</v>
      </c>
      <c r="AJ12" s="23">
        <f t="shared" si="5"/>
        <v>23.65415986949429</v>
      </c>
      <c r="AK12" s="23">
        <f t="shared" si="6"/>
        <v>0.77586206896551724</v>
      </c>
      <c r="AL12" s="23">
        <f t="shared" si="7"/>
        <v>5.886214442013129</v>
      </c>
      <c r="AM12" s="24">
        <f t="shared" si="8"/>
        <v>32.027027027027032</v>
      </c>
      <c r="AN12" s="29">
        <f t="shared" si="9"/>
        <v>20.78152753108348</v>
      </c>
      <c r="AO12" s="24">
        <f t="shared" si="10"/>
        <v>116.58291457286431</v>
      </c>
      <c r="AP12" s="24">
        <f t="shared" si="11"/>
        <v>190.58171745152353</v>
      </c>
      <c r="AQ12" s="24">
        <f t="shared" si="12"/>
        <v>317.47967479674793</v>
      </c>
      <c r="AS12" s="24">
        <f t="shared" si="13"/>
        <v>792.5</v>
      </c>
      <c r="AU12" s="24">
        <f t="shared" si="14"/>
        <v>1608.695652173913</v>
      </c>
      <c r="AV12" s="24">
        <f t="shared" si="15"/>
        <v>1849.5934959349593</v>
      </c>
      <c r="AW12" s="29">
        <f t="shared" si="16"/>
        <v>0.34009613740001626</v>
      </c>
      <c r="AX12" s="25">
        <f t="shared" si="17"/>
        <v>2.1141111243784794</v>
      </c>
      <c r="AY12" s="26">
        <f t="shared" si="18"/>
        <v>0.1389965922740698</v>
      </c>
      <c r="AZ12" s="23">
        <f t="shared" si="19"/>
        <v>9.2317791372741915</v>
      </c>
      <c r="BA12" s="25">
        <f t="shared" si="20"/>
        <v>0.42232506332533054</v>
      </c>
      <c r="BB12" s="37">
        <f t="shared" si="21"/>
        <v>0.78733612969946609</v>
      </c>
      <c r="BC12" s="23">
        <f t="shared" si="22"/>
        <v>-14.30020331222171</v>
      </c>
      <c r="BD12" s="38">
        <f t="shared" si="23"/>
        <v>-13.524492829378095</v>
      </c>
      <c r="BE12" s="24">
        <f t="shared" si="24"/>
        <v>4.2211861002307369</v>
      </c>
    </row>
    <row r="13" spans="1:58" s="6" customFormat="1" ht="16" customHeight="1">
      <c r="A13" s="6" t="s">
        <v>172</v>
      </c>
      <c r="B13" s="6" t="s">
        <v>173</v>
      </c>
      <c r="C13" s="6" t="s">
        <v>180</v>
      </c>
      <c r="D13" s="24">
        <v>4.4600172394152651</v>
      </c>
      <c r="E13" s="24">
        <v>500</v>
      </c>
      <c r="F13" s="6">
        <v>0.75</v>
      </c>
      <c r="G13" s="6">
        <v>0.85</v>
      </c>
      <c r="H13" s="17">
        <f t="shared" si="0"/>
        <v>1088.6359460337771</v>
      </c>
      <c r="I13" s="17">
        <f t="shared" si="1"/>
        <v>815.63594603377715</v>
      </c>
      <c r="J13" s="6">
        <v>205</v>
      </c>
      <c r="K13" s="6">
        <v>10.7</v>
      </c>
      <c r="M13" s="6">
        <v>602</v>
      </c>
      <c r="Q13" s="6">
        <v>45.6</v>
      </c>
      <c r="R13" s="6">
        <v>62</v>
      </c>
      <c r="S13" s="17">
        <f t="shared" si="2"/>
        <v>45.610068669104727</v>
      </c>
      <c r="T13" s="20">
        <f t="shared" si="3"/>
        <v>62.491275274433505</v>
      </c>
      <c r="U13" s="6">
        <v>1.2E-2</v>
      </c>
      <c r="V13" s="6">
        <v>8.99</v>
      </c>
      <c r="W13" s="6">
        <v>0.03</v>
      </c>
      <c r="X13" s="6">
        <v>0.93</v>
      </c>
      <c r="Y13" s="6">
        <v>2.2999999999999998</v>
      </c>
      <c r="Z13" s="6">
        <v>0.64</v>
      </c>
      <c r="AA13" s="6">
        <v>11.7</v>
      </c>
      <c r="AB13" s="6">
        <v>3.87</v>
      </c>
      <c r="AC13" s="6">
        <v>44.2</v>
      </c>
      <c r="AE13" s="6">
        <v>75.7</v>
      </c>
      <c r="AG13" s="6">
        <v>171.6</v>
      </c>
      <c r="AH13" s="6">
        <v>31.1</v>
      </c>
      <c r="AI13" s="23">
        <f t="shared" si="4"/>
        <v>5.0632911392405069E-2</v>
      </c>
      <c r="AJ13" s="23">
        <f t="shared" si="5"/>
        <v>14.665579119086461</v>
      </c>
      <c r="AK13" s="23">
        <f t="shared" si="6"/>
        <v>0.32327586206896552</v>
      </c>
      <c r="AL13" s="23">
        <f t="shared" si="7"/>
        <v>2.0350109409190371</v>
      </c>
      <c r="AM13" s="24">
        <f t="shared" si="8"/>
        <v>15.54054054054054</v>
      </c>
      <c r="AN13" s="29">
        <f t="shared" si="9"/>
        <v>11.367673179396093</v>
      </c>
      <c r="AO13" s="24">
        <f t="shared" si="10"/>
        <v>58.793969849246224</v>
      </c>
      <c r="AP13" s="24">
        <f t="shared" si="11"/>
        <v>107.20221606648199</v>
      </c>
      <c r="AQ13" s="24">
        <f t="shared" si="12"/>
        <v>179.67479674796749</v>
      </c>
      <c r="AS13" s="24">
        <f t="shared" si="13"/>
        <v>473.125</v>
      </c>
      <c r="AU13" s="24">
        <f t="shared" si="14"/>
        <v>1065.8385093167701</v>
      </c>
      <c r="AV13" s="24">
        <f t="shared" si="15"/>
        <v>1264.2276422764228</v>
      </c>
      <c r="AW13" s="29">
        <f t="shared" si="16"/>
        <v>0.37607297540534179</v>
      </c>
      <c r="AX13" s="25">
        <f t="shared" si="17"/>
        <v>3.5284236037447574</v>
      </c>
      <c r="AY13" s="26">
        <f t="shared" si="18"/>
        <v>0.14386008223579969</v>
      </c>
      <c r="AZ13" s="23">
        <f t="shared" si="19"/>
        <v>5.8403061004143471</v>
      </c>
      <c r="BA13" s="25">
        <f t="shared" si="20"/>
        <v>0.34766270840150387</v>
      </c>
      <c r="BB13" s="37">
        <f t="shared" si="21"/>
        <v>0.44955012032535802</v>
      </c>
      <c r="BC13" s="23">
        <f t="shared" si="22"/>
        <v>-14.417154517395577</v>
      </c>
      <c r="BD13" s="38">
        <f t="shared" si="23"/>
        <v>-13.979145555179354</v>
      </c>
      <c r="BE13" s="24">
        <f t="shared" si="24"/>
        <v>11.971152890762891</v>
      </c>
    </row>
    <row r="14" spans="1:58" s="6" customFormat="1" ht="16" customHeight="1">
      <c r="A14" s="6" t="s">
        <v>172</v>
      </c>
      <c r="B14" s="6" t="s">
        <v>173</v>
      </c>
      <c r="C14" s="6" t="s">
        <v>193</v>
      </c>
      <c r="D14" s="24">
        <v>4.5999999999999996</v>
      </c>
      <c r="E14" s="24">
        <v>500</v>
      </c>
      <c r="F14" s="6">
        <v>0.75</v>
      </c>
      <c r="G14" s="6">
        <v>0.85</v>
      </c>
      <c r="H14" s="17">
        <f t="shared" si="0"/>
        <v>1041.409452777729</v>
      </c>
      <c r="I14" s="17">
        <f t="shared" si="1"/>
        <v>768.40945277772903</v>
      </c>
      <c r="J14" s="6">
        <v>182</v>
      </c>
      <c r="K14" s="6">
        <v>6.6</v>
      </c>
      <c r="M14" s="6">
        <v>664</v>
      </c>
      <c r="Q14" s="6">
        <v>147</v>
      </c>
      <c r="R14" s="6">
        <v>204</v>
      </c>
      <c r="S14" s="17">
        <f t="shared" si="2"/>
        <v>147.03347706377303</v>
      </c>
      <c r="T14" s="20">
        <f t="shared" si="3"/>
        <v>205.62109046438917</v>
      </c>
      <c r="U14" s="6">
        <v>3.0000000000000001E-3</v>
      </c>
      <c r="V14" s="6">
        <v>12.98</v>
      </c>
      <c r="W14" s="6">
        <v>0.02</v>
      </c>
      <c r="X14" s="6">
        <v>0.86</v>
      </c>
      <c r="Y14" s="6">
        <v>1.56</v>
      </c>
      <c r="Z14" s="6">
        <v>0.47</v>
      </c>
      <c r="AA14" s="6">
        <v>10.199999999999999</v>
      </c>
      <c r="AB14" s="6">
        <v>3.47</v>
      </c>
      <c r="AC14" s="6">
        <v>42.6</v>
      </c>
      <c r="AE14" s="6">
        <v>86.2</v>
      </c>
      <c r="AG14" s="6">
        <v>224</v>
      </c>
      <c r="AH14" s="6">
        <v>50.9</v>
      </c>
      <c r="AI14" s="23">
        <f t="shared" si="4"/>
        <v>1.2658227848101267E-2</v>
      </c>
      <c r="AJ14" s="23">
        <f t="shared" si="5"/>
        <v>21.174551386623165</v>
      </c>
      <c r="AK14" s="23">
        <f t="shared" si="6"/>
        <v>0.21551724137931036</v>
      </c>
      <c r="AL14" s="23">
        <f t="shared" si="7"/>
        <v>1.8818380743982495</v>
      </c>
      <c r="AM14" s="24">
        <f t="shared" si="8"/>
        <v>10.540540540540542</v>
      </c>
      <c r="AN14" s="29">
        <f t="shared" si="9"/>
        <v>8.3481349911190037</v>
      </c>
      <c r="AO14" s="24">
        <f t="shared" si="10"/>
        <v>51.256281407035168</v>
      </c>
      <c r="AP14" s="24">
        <f t="shared" si="11"/>
        <v>96.121883656509695</v>
      </c>
      <c r="AQ14" s="24">
        <f t="shared" si="12"/>
        <v>173.17073170731709</v>
      </c>
      <c r="AS14" s="24">
        <f t="shared" si="13"/>
        <v>538.75</v>
      </c>
      <c r="AU14" s="24">
        <f t="shared" si="14"/>
        <v>1391.304347826087</v>
      </c>
      <c r="AV14" s="24">
        <f t="shared" si="15"/>
        <v>2069.1056910569105</v>
      </c>
      <c r="AW14" s="29">
        <f t="shared" si="16"/>
        <v>0.35915711465459044</v>
      </c>
      <c r="AX14" s="25">
        <f t="shared" si="17"/>
        <v>2.5814417615798688</v>
      </c>
      <c r="AY14" s="26">
        <f t="shared" si="18"/>
        <v>6.312582026816925E-2</v>
      </c>
      <c r="AZ14" s="23">
        <f t="shared" si="19"/>
        <v>31.154710676422603</v>
      </c>
      <c r="BA14" s="25">
        <f t="shared" si="20"/>
        <v>0.35234563503383937</v>
      </c>
      <c r="BB14" s="37">
        <f t="shared" si="21"/>
        <v>0.47278164498028241</v>
      </c>
      <c r="BC14" s="23">
        <f t="shared" si="22"/>
        <v>-15.453110107673227</v>
      </c>
      <c r="BD14" s="38">
        <f t="shared" si="23"/>
        <v>-14.991875431588637</v>
      </c>
      <c r="BE14" s="24">
        <f t="shared" si="24"/>
        <v>16.945870663503054</v>
      </c>
    </row>
    <row r="15" spans="1:58" s="6" customFormat="1" ht="16" customHeight="1">
      <c r="A15" s="6" t="s">
        <v>172</v>
      </c>
      <c r="B15" s="6" t="s">
        <v>173</v>
      </c>
      <c r="C15" s="6" t="s">
        <v>194</v>
      </c>
      <c r="D15" s="24">
        <v>4.5999999999999996</v>
      </c>
      <c r="E15" s="24">
        <v>500</v>
      </c>
      <c r="F15" s="6">
        <v>0.75</v>
      </c>
      <c r="G15" s="6">
        <v>0.85</v>
      </c>
      <c r="H15" s="17">
        <f t="shared" si="0"/>
        <v>1017.8473531071609</v>
      </c>
      <c r="I15" s="17">
        <f t="shared" si="1"/>
        <v>744.84735310716087</v>
      </c>
      <c r="J15" s="6">
        <v>102</v>
      </c>
      <c r="K15" s="6">
        <v>5.0999999999999996</v>
      </c>
      <c r="M15" s="6">
        <v>667</v>
      </c>
      <c r="Q15" s="6">
        <v>84.9</v>
      </c>
      <c r="R15" s="6">
        <v>98.4</v>
      </c>
      <c r="S15" s="17">
        <f t="shared" si="2"/>
        <v>84.919334712342391</v>
      </c>
      <c r="T15" s="20">
        <f t="shared" si="3"/>
        <v>99.181937753411262</v>
      </c>
      <c r="U15" s="6">
        <v>-4.0200000000000001E-3</v>
      </c>
      <c r="V15" s="6">
        <v>10.46</v>
      </c>
      <c r="W15" s="6">
        <v>7.3999999999999996E-2</v>
      </c>
      <c r="X15" s="6">
        <v>1.58</v>
      </c>
      <c r="Y15" s="6">
        <v>3.07</v>
      </c>
      <c r="Z15" s="6">
        <v>0.99</v>
      </c>
      <c r="AA15" s="6">
        <v>14.7</v>
      </c>
      <c r="AB15" s="6">
        <v>4.0599999999999996</v>
      </c>
      <c r="AC15" s="6">
        <v>48.6</v>
      </c>
      <c r="AE15" s="6">
        <v>82.5</v>
      </c>
      <c r="AG15" s="6">
        <v>207</v>
      </c>
      <c r="AH15" s="6">
        <v>39.1</v>
      </c>
      <c r="AI15" s="23">
        <f t="shared" si="4"/>
        <v>-1.6962025316455697E-2</v>
      </c>
      <c r="AJ15" s="23">
        <f t="shared" si="5"/>
        <v>17.063621533442088</v>
      </c>
      <c r="AK15" s="23">
        <f t="shared" si="6"/>
        <v>0.79741379310344829</v>
      </c>
      <c r="AL15" s="23">
        <f t="shared" si="7"/>
        <v>3.4573304157549236</v>
      </c>
      <c r="AM15" s="24">
        <f t="shared" si="8"/>
        <v>20.743243243243242</v>
      </c>
      <c r="AN15" s="29">
        <f t="shared" si="9"/>
        <v>17.584369449378329</v>
      </c>
      <c r="AO15" s="24">
        <f t="shared" si="10"/>
        <v>73.869346733668337</v>
      </c>
      <c r="AP15" s="24">
        <f t="shared" si="11"/>
        <v>112.46537396121883</v>
      </c>
      <c r="AQ15" s="24">
        <f t="shared" si="12"/>
        <v>197.5609756097561</v>
      </c>
      <c r="AS15" s="24">
        <f t="shared" si="13"/>
        <v>515.625</v>
      </c>
      <c r="AU15" s="24">
        <f t="shared" si="14"/>
        <v>1285.7142857142858</v>
      </c>
      <c r="AV15" s="24">
        <f t="shared" si="15"/>
        <v>1589.4308943089432</v>
      </c>
      <c r="AW15" s="29">
        <f t="shared" si="16"/>
        <v>0.44921716276452567</v>
      </c>
      <c r="AX15" s="25">
        <f t="shared" si="17"/>
        <v>3.4939112659463105</v>
      </c>
      <c r="AY15" s="26">
        <f t="shared" si="18"/>
        <v>0.10546275094973369</v>
      </c>
      <c r="AZ15" s="23">
        <f t="shared" si="19"/>
        <v>19.447438775178679</v>
      </c>
      <c r="BA15" s="25">
        <f t="shared" si="20"/>
        <v>0.46508282520517391</v>
      </c>
      <c r="BB15" s="37">
        <f t="shared" si="21"/>
        <v>0.95478614731230915</v>
      </c>
      <c r="BC15" s="23">
        <f t="shared" si="22"/>
        <v>-16.006270640322754</v>
      </c>
      <c r="BD15" s="38">
        <f t="shared" si="23"/>
        <v>-15.063152023312423</v>
      </c>
      <c r="BE15" s="24">
        <f t="shared" si="24"/>
        <v>7.3995360301966429</v>
      </c>
    </row>
    <row r="16" spans="1:58" s="6" customFormat="1" ht="16" customHeight="1">
      <c r="A16" s="6" t="s">
        <v>172</v>
      </c>
      <c r="B16" s="6" t="s">
        <v>173</v>
      </c>
      <c r="C16" s="6" t="s">
        <v>181</v>
      </c>
      <c r="D16" s="24">
        <v>4.7</v>
      </c>
      <c r="E16" s="24">
        <v>500</v>
      </c>
      <c r="F16" s="6">
        <v>0.75</v>
      </c>
      <c r="G16" s="6">
        <v>0.85</v>
      </c>
      <c r="H16" s="17">
        <f t="shared" si="0"/>
        <v>1059.7127428866129</v>
      </c>
      <c r="I16" s="17">
        <f t="shared" si="1"/>
        <v>786.71274288661289</v>
      </c>
      <c r="J16" s="6">
        <v>213</v>
      </c>
      <c r="K16" s="6">
        <v>8</v>
      </c>
      <c r="M16" s="6">
        <v>1054</v>
      </c>
      <c r="Q16" s="6">
        <v>192</v>
      </c>
      <c r="R16" s="6">
        <v>192</v>
      </c>
      <c r="S16" s="17">
        <f t="shared" si="2"/>
        <v>192.04467580172107</v>
      </c>
      <c r="T16" s="20">
        <f t="shared" si="3"/>
        <v>193.52884952154622</v>
      </c>
      <c r="U16" s="6">
        <v>8.0000000000000004E-4</v>
      </c>
      <c r="V16" s="6">
        <v>15.49</v>
      </c>
      <c r="W16" s="6">
        <v>0.22700000000000001</v>
      </c>
      <c r="X16" s="6">
        <v>4.8099999999999996</v>
      </c>
      <c r="Y16" s="6">
        <v>7.2</v>
      </c>
      <c r="Z16" s="6">
        <v>2.81</v>
      </c>
      <c r="AA16" s="6">
        <v>28.8</v>
      </c>
      <c r="AB16" s="6">
        <v>8.4</v>
      </c>
      <c r="AC16" s="6">
        <v>91</v>
      </c>
      <c r="AE16" s="6">
        <v>144.6</v>
      </c>
      <c r="AG16" s="6">
        <v>345</v>
      </c>
      <c r="AH16" s="6">
        <v>65.900000000000006</v>
      </c>
      <c r="AI16" s="23">
        <f t="shared" si="4"/>
        <v>3.375527426160338E-3</v>
      </c>
      <c r="AJ16" s="23">
        <f t="shared" si="5"/>
        <v>25.269168026101141</v>
      </c>
      <c r="AK16" s="23">
        <f t="shared" si="6"/>
        <v>2.4461206896551726</v>
      </c>
      <c r="AL16" s="23">
        <f t="shared" si="7"/>
        <v>10.525164113785557</v>
      </c>
      <c r="AM16" s="24">
        <f t="shared" si="8"/>
        <v>48.648648648648653</v>
      </c>
      <c r="AN16" s="29">
        <f t="shared" si="9"/>
        <v>49.911190053285964</v>
      </c>
      <c r="AO16" s="24">
        <f t="shared" si="10"/>
        <v>144.72361809045225</v>
      </c>
      <c r="AP16" s="24">
        <f t="shared" si="11"/>
        <v>232.6869806094183</v>
      </c>
      <c r="AQ16" s="24">
        <f t="shared" si="12"/>
        <v>369.91869918699189</v>
      </c>
      <c r="AS16" s="24">
        <f t="shared" si="13"/>
        <v>903.75</v>
      </c>
      <c r="AU16" s="24">
        <f t="shared" si="14"/>
        <v>2142.8571428571427</v>
      </c>
      <c r="AV16" s="24">
        <f t="shared" si="15"/>
        <v>2678.8617886178863</v>
      </c>
      <c r="AW16" s="29">
        <f t="shared" si="16"/>
        <v>0.59482995206186817</v>
      </c>
      <c r="AX16" s="25">
        <f t="shared" si="17"/>
        <v>2.7758731096220517</v>
      </c>
      <c r="AY16" s="26">
        <f t="shared" si="18"/>
        <v>8.0039746209907822E-2</v>
      </c>
      <c r="AZ16" s="23">
        <f t="shared" si="19"/>
        <v>24.191106190193278</v>
      </c>
      <c r="BA16" s="25">
        <f t="shared" si="20"/>
        <v>0.39367113000439091</v>
      </c>
      <c r="BB16" s="37">
        <f t="shared" si="21"/>
        <v>0.66534400021097584</v>
      </c>
      <c r="BC16" s="23">
        <f t="shared" si="22"/>
        <v>-15.040576797055463</v>
      </c>
      <c r="BD16" s="38">
        <f t="shared" si="23"/>
        <v>-14.386827930411323</v>
      </c>
      <c r="BE16" s="24">
        <f t="shared" si="24"/>
        <v>2.2778307739505816</v>
      </c>
    </row>
    <row r="17" spans="1:57" s="6" customFormat="1" ht="16" customHeight="1">
      <c r="A17" s="6" t="s">
        <v>172</v>
      </c>
      <c r="B17" s="6" t="s">
        <v>173</v>
      </c>
      <c r="C17" s="6" t="s">
        <v>195</v>
      </c>
      <c r="D17" s="24">
        <v>4.7967458017855789</v>
      </c>
      <c r="E17" s="24">
        <v>500</v>
      </c>
      <c r="F17" s="6">
        <v>0.75</v>
      </c>
      <c r="G17" s="6">
        <v>0.85</v>
      </c>
      <c r="H17" s="17">
        <f t="shared" si="0"/>
        <v>1050.9209794143433</v>
      </c>
      <c r="I17" s="17">
        <f t="shared" si="1"/>
        <v>777.92097941434326</v>
      </c>
      <c r="J17" s="6">
        <v>127</v>
      </c>
      <c r="K17" s="6">
        <v>7.3</v>
      </c>
      <c r="M17" s="6">
        <v>519</v>
      </c>
      <c r="Q17" s="6">
        <v>84.7</v>
      </c>
      <c r="R17" s="6">
        <v>118.5</v>
      </c>
      <c r="S17" s="17">
        <f t="shared" si="2"/>
        <v>84.720114276812637</v>
      </c>
      <c r="T17" s="20">
        <f t="shared" si="3"/>
        <v>119.44544821012144</v>
      </c>
      <c r="U17" s="6">
        <v>-3.3400000000000001E-3</v>
      </c>
      <c r="V17" s="6">
        <v>10.93</v>
      </c>
      <c r="W17" s="6">
        <v>1.4E-2</v>
      </c>
      <c r="X17" s="6">
        <v>0.5</v>
      </c>
      <c r="Y17" s="6">
        <v>1.41</v>
      </c>
      <c r="Z17" s="6">
        <v>0.68</v>
      </c>
      <c r="AA17" s="6">
        <v>7.17</v>
      </c>
      <c r="AB17" s="6">
        <v>2.4700000000000002</v>
      </c>
      <c r="AC17" s="6">
        <v>31.9</v>
      </c>
      <c r="AE17" s="6">
        <v>65.099999999999994</v>
      </c>
      <c r="AG17" s="6">
        <v>173.2</v>
      </c>
      <c r="AH17" s="6">
        <v>36.1</v>
      </c>
      <c r="AI17" s="23">
        <f t="shared" si="4"/>
        <v>-1.409282700421941E-2</v>
      </c>
      <c r="AJ17" s="23">
        <f t="shared" si="5"/>
        <v>17.830342577487766</v>
      </c>
      <c r="AK17" s="23">
        <f t="shared" si="6"/>
        <v>0.15086206896551727</v>
      </c>
      <c r="AL17" s="23">
        <f t="shared" si="7"/>
        <v>1.0940919037199124</v>
      </c>
      <c r="AM17" s="24">
        <f t="shared" si="8"/>
        <v>9.5270270270270263</v>
      </c>
      <c r="AN17" s="29">
        <f t="shared" si="9"/>
        <v>12.078152753108348</v>
      </c>
      <c r="AO17" s="24">
        <f t="shared" si="10"/>
        <v>36.030150753768844</v>
      </c>
      <c r="AP17" s="24">
        <f t="shared" si="11"/>
        <v>68.421052631578959</v>
      </c>
      <c r="AQ17" s="24">
        <f t="shared" si="12"/>
        <v>129.67479674796746</v>
      </c>
      <c r="AS17" s="24">
        <f t="shared" si="13"/>
        <v>406.87499999999994</v>
      </c>
      <c r="AU17" s="24">
        <f t="shared" si="14"/>
        <v>1075.7763975155278</v>
      </c>
      <c r="AV17" s="24">
        <f t="shared" si="15"/>
        <v>1467.479674796748</v>
      </c>
      <c r="AW17" s="29">
        <f t="shared" si="16"/>
        <v>0.65191170616747818</v>
      </c>
      <c r="AX17" s="25">
        <f t="shared" si="17"/>
        <v>6.0599182848131639</v>
      </c>
      <c r="AY17" s="26">
        <f t="shared" si="18"/>
        <v>9.1506207760823022E-2</v>
      </c>
      <c r="AZ17" s="23">
        <f t="shared" si="19"/>
        <v>16.362390165770062</v>
      </c>
      <c r="BA17" s="25">
        <f t="shared" si="20"/>
        <v>0.37014674076933834</v>
      </c>
      <c r="BB17" s="37">
        <f t="shared" si="21"/>
        <v>0.55835897081337493</v>
      </c>
      <c r="BC17" s="23">
        <f t="shared" si="22"/>
        <v>-15.236921918745155</v>
      </c>
      <c r="BD17" s="38">
        <f t="shared" si="23"/>
        <v>-14.690131321861449</v>
      </c>
      <c r="BE17" s="24">
        <f t="shared" si="24"/>
        <v>31.400641841664388</v>
      </c>
    </row>
    <row r="18" spans="1:57" s="6" customFormat="1" ht="16" customHeight="1">
      <c r="A18" s="6" t="s">
        <v>172</v>
      </c>
      <c r="B18" s="6" t="s">
        <v>173</v>
      </c>
      <c r="C18" s="6" t="s">
        <v>182</v>
      </c>
      <c r="D18" s="24">
        <v>4.9000000000000004</v>
      </c>
      <c r="E18" s="24">
        <v>500</v>
      </c>
      <c r="F18" s="6">
        <v>0.75</v>
      </c>
      <c r="G18" s="6">
        <v>0.85</v>
      </c>
      <c r="H18" s="17">
        <f t="shared" si="0"/>
        <v>1113.7043578001012</v>
      </c>
      <c r="I18" s="17">
        <f t="shared" si="1"/>
        <v>840.70435780010121</v>
      </c>
      <c r="J18" s="6">
        <v>179</v>
      </c>
      <c r="K18" s="6">
        <v>13.6</v>
      </c>
      <c r="M18" s="6">
        <v>774</v>
      </c>
      <c r="Q18" s="6">
        <v>56.9</v>
      </c>
      <c r="R18" s="6">
        <v>89.1</v>
      </c>
      <c r="S18" s="17">
        <f t="shared" si="2"/>
        <v>56.913803326618392</v>
      </c>
      <c r="T18" s="20">
        <f t="shared" si="3"/>
        <v>89.812375076626182</v>
      </c>
      <c r="U18" s="6">
        <v>-4.2599999999999999E-3</v>
      </c>
      <c r="V18" s="6">
        <v>10.93</v>
      </c>
      <c r="W18" s="6">
        <v>0.03</v>
      </c>
      <c r="X18" s="6">
        <v>0.97</v>
      </c>
      <c r="Y18" s="6">
        <v>2.16</v>
      </c>
      <c r="Z18" s="6">
        <v>0.96</v>
      </c>
      <c r="AA18" s="6">
        <v>12.8</v>
      </c>
      <c r="AB18" s="6">
        <v>3.91</v>
      </c>
      <c r="AC18" s="6">
        <v>51.3</v>
      </c>
      <c r="AE18" s="6">
        <v>102.8</v>
      </c>
      <c r="AG18" s="6">
        <v>264</v>
      </c>
      <c r="AH18" s="6">
        <v>53.1</v>
      </c>
      <c r="AI18" s="23">
        <f t="shared" si="4"/>
        <v>-1.7974683544303798E-2</v>
      </c>
      <c r="AJ18" s="23">
        <f t="shared" si="5"/>
        <v>17.830342577487766</v>
      </c>
      <c r="AK18" s="23">
        <f t="shared" si="6"/>
        <v>0.32327586206896552</v>
      </c>
      <c r="AL18" s="23">
        <f t="shared" si="7"/>
        <v>2.1225382932166301</v>
      </c>
      <c r="AM18" s="24">
        <f t="shared" si="8"/>
        <v>14.594594594594597</v>
      </c>
      <c r="AN18" s="29">
        <f t="shared" si="9"/>
        <v>17.051509769094135</v>
      </c>
      <c r="AO18" s="24">
        <f t="shared" si="10"/>
        <v>64.321608040200999</v>
      </c>
      <c r="AP18" s="24">
        <f t="shared" si="11"/>
        <v>108.31024930747922</v>
      </c>
      <c r="AQ18" s="24">
        <f t="shared" si="12"/>
        <v>208.53658536585365</v>
      </c>
      <c r="AS18" s="24">
        <f t="shared" si="13"/>
        <v>642.5</v>
      </c>
      <c r="AU18" s="24">
        <f t="shared" si="14"/>
        <v>1639.7515527950311</v>
      </c>
      <c r="AV18" s="24">
        <f t="shared" si="15"/>
        <v>2158.5365853658536</v>
      </c>
      <c r="AW18" s="29">
        <f t="shared" si="16"/>
        <v>0.55652973544313478</v>
      </c>
      <c r="AX18" s="25">
        <f t="shared" si="17"/>
        <v>3.3939881593312382</v>
      </c>
      <c r="AY18" s="26">
        <f t="shared" si="18"/>
        <v>0.12169815118100077</v>
      </c>
      <c r="AZ18" s="23">
        <f t="shared" si="19"/>
        <v>6.603851108575455</v>
      </c>
      <c r="BA18" s="25">
        <f t="shared" si="20"/>
        <v>0.31273941327926702</v>
      </c>
      <c r="BB18" s="37">
        <f t="shared" si="21"/>
        <v>0.26574010301951123</v>
      </c>
      <c r="BC18" s="23">
        <f t="shared" si="22"/>
        <v>-13.903065224111314</v>
      </c>
      <c r="BD18" s="38">
        <f t="shared" si="23"/>
        <v>-13.648820303708867</v>
      </c>
      <c r="BE18" s="24">
        <f t="shared" si="24"/>
        <v>10.853334609222287</v>
      </c>
    </row>
    <row r="19" spans="1:57" s="6" customFormat="1" ht="16" customHeight="1">
      <c r="A19" s="6" t="s">
        <v>172</v>
      </c>
      <c r="B19" s="6" t="s">
        <v>173</v>
      </c>
      <c r="C19" s="6" t="s">
        <v>183</v>
      </c>
      <c r="D19" s="24">
        <v>4.9774255005898675</v>
      </c>
      <c r="E19" s="24">
        <v>500</v>
      </c>
      <c r="F19" s="6">
        <v>0.75</v>
      </c>
      <c r="G19" s="6">
        <v>0.85</v>
      </c>
      <c r="H19" s="17">
        <f t="shared" si="0"/>
        <v>1014.2866223996342</v>
      </c>
      <c r="I19" s="17">
        <f t="shared" si="1"/>
        <v>741.28662239963421</v>
      </c>
      <c r="J19" s="6">
        <v>156</v>
      </c>
      <c r="K19" s="6">
        <v>4.9000000000000004</v>
      </c>
      <c r="M19" s="6">
        <v>867</v>
      </c>
      <c r="Q19" s="6">
        <v>149</v>
      </c>
      <c r="R19" s="6">
        <v>191</v>
      </c>
      <c r="S19" s="17">
        <f t="shared" si="2"/>
        <v>149.03671700826467</v>
      </c>
      <c r="T19" s="20">
        <f t="shared" si="3"/>
        <v>192.52949027164161</v>
      </c>
      <c r="U19" s="6">
        <v>-3.4299999999999999E-3</v>
      </c>
      <c r="V19" s="6">
        <v>14.8</v>
      </c>
      <c r="W19" s="6">
        <v>0.115</v>
      </c>
      <c r="X19" s="6">
        <v>2.5099999999999998</v>
      </c>
      <c r="Y19" s="6">
        <v>3.52</v>
      </c>
      <c r="Z19" s="6">
        <v>1.31</v>
      </c>
      <c r="AA19" s="6">
        <v>18.600000000000001</v>
      </c>
      <c r="AB19" s="6">
        <v>5.5</v>
      </c>
      <c r="AC19" s="6">
        <v>64.099999999999994</v>
      </c>
      <c r="AE19" s="6">
        <v>117</v>
      </c>
      <c r="AG19" s="6">
        <v>288</v>
      </c>
      <c r="AH19" s="6">
        <v>56.9</v>
      </c>
      <c r="AI19" s="23">
        <f t="shared" si="4"/>
        <v>-1.4472573839662448E-2</v>
      </c>
      <c r="AJ19" s="23">
        <f t="shared" si="5"/>
        <v>24.143556280587276</v>
      </c>
      <c r="AK19" s="23">
        <f t="shared" si="6"/>
        <v>1.2392241379310347</v>
      </c>
      <c r="AL19" s="23">
        <f t="shared" si="7"/>
        <v>5.4923413566739603</v>
      </c>
      <c r="AM19" s="24">
        <f t="shared" si="8"/>
        <v>23.783783783783786</v>
      </c>
      <c r="AN19" s="29">
        <f t="shared" si="9"/>
        <v>23.268206039076375</v>
      </c>
      <c r="AO19" s="24">
        <f t="shared" si="10"/>
        <v>93.467336683417088</v>
      </c>
      <c r="AP19" s="24">
        <f t="shared" si="11"/>
        <v>152.35457063711911</v>
      </c>
      <c r="AQ19" s="24">
        <f t="shared" si="12"/>
        <v>260.5691056910569</v>
      </c>
      <c r="AS19" s="24">
        <f t="shared" si="13"/>
        <v>731.25</v>
      </c>
      <c r="AU19" s="24">
        <f t="shared" si="14"/>
        <v>1788.8198757763976</v>
      </c>
      <c r="AV19" s="24">
        <f t="shared" si="15"/>
        <v>2313.0081300813008</v>
      </c>
      <c r="AW19" s="29">
        <f t="shared" si="16"/>
        <v>0.49350606330445457</v>
      </c>
      <c r="AX19" s="25">
        <f t="shared" si="17"/>
        <v>2.7588359788894858</v>
      </c>
      <c r="AY19" s="26">
        <f t="shared" si="18"/>
        <v>7.6871340484611195E-2</v>
      </c>
      <c r="AZ19" s="23">
        <f t="shared" si="19"/>
        <v>39.291732708498287</v>
      </c>
      <c r="BA19" s="25">
        <f t="shared" si="20"/>
        <v>0.48185352994542485</v>
      </c>
      <c r="BB19" s="37">
        <f t="shared" si="21"/>
        <v>1.0162943493926806</v>
      </c>
      <c r="BC19" s="23">
        <f t="shared" si="22"/>
        <v>-16.092132674398719</v>
      </c>
      <c r="BD19" s="38">
        <f t="shared" si="23"/>
        <v>-15.08752124005091</v>
      </c>
      <c r="BE19" s="24">
        <f t="shared" si="24"/>
        <v>5.0701945253488399</v>
      </c>
    </row>
    <row r="20" spans="1:57" s="6" customFormat="1" ht="16" customHeight="1">
      <c r="A20" s="6" t="s">
        <v>172</v>
      </c>
      <c r="B20" s="6" t="s">
        <v>173</v>
      </c>
      <c r="C20" s="6" t="s">
        <v>196</v>
      </c>
      <c r="D20" s="24">
        <v>5</v>
      </c>
      <c r="E20" s="24">
        <v>500</v>
      </c>
      <c r="F20" s="6">
        <v>0.75</v>
      </c>
      <c r="G20" s="6">
        <v>0.85</v>
      </c>
      <c r="H20" s="17">
        <f t="shared" si="0"/>
        <v>1132.0466907835457</v>
      </c>
      <c r="I20" s="17">
        <f t="shared" si="1"/>
        <v>859.04669078354573</v>
      </c>
      <c r="J20" s="6">
        <v>263</v>
      </c>
      <c r="K20" s="6">
        <v>16.100000000000001</v>
      </c>
      <c r="M20" s="6">
        <v>747</v>
      </c>
      <c r="Q20" s="6">
        <v>51.3</v>
      </c>
      <c r="R20" s="6">
        <v>72.900000000000006</v>
      </c>
      <c r="S20" s="17">
        <f t="shared" si="2"/>
        <v>51.312698834479427</v>
      </c>
      <c r="T20" s="20">
        <f t="shared" si="3"/>
        <v>73.484036010782816</v>
      </c>
      <c r="U20" s="6">
        <v>8.0000000000000004E-4</v>
      </c>
      <c r="V20" s="6">
        <v>10.34</v>
      </c>
      <c r="W20" s="6">
        <v>2.5999999999999999E-2</v>
      </c>
      <c r="X20" s="6">
        <v>1.03</v>
      </c>
      <c r="Y20" s="6">
        <v>2.85</v>
      </c>
      <c r="Z20" s="6">
        <v>0.78</v>
      </c>
      <c r="AA20" s="6">
        <v>14.5</v>
      </c>
      <c r="AB20" s="6">
        <v>4.8899999999999997</v>
      </c>
      <c r="AC20" s="6">
        <v>55.3</v>
      </c>
      <c r="AE20" s="6">
        <v>96.4</v>
      </c>
      <c r="AG20" s="6">
        <v>217.3</v>
      </c>
      <c r="AH20" s="6">
        <v>39.799999999999997</v>
      </c>
      <c r="AI20" s="23">
        <f t="shared" si="4"/>
        <v>3.375527426160338E-3</v>
      </c>
      <c r="AJ20" s="23">
        <f t="shared" si="5"/>
        <v>16.867862969004893</v>
      </c>
      <c r="AK20" s="23">
        <f t="shared" si="6"/>
        <v>0.28017241379310348</v>
      </c>
      <c r="AL20" s="23">
        <f t="shared" si="7"/>
        <v>2.2538293216630199</v>
      </c>
      <c r="AM20" s="24">
        <f t="shared" si="8"/>
        <v>19.256756756756758</v>
      </c>
      <c r="AN20" s="29">
        <f t="shared" si="9"/>
        <v>13.854351687388988</v>
      </c>
      <c r="AO20" s="24">
        <f t="shared" si="10"/>
        <v>72.8643216080402</v>
      </c>
      <c r="AP20" s="24">
        <f t="shared" si="11"/>
        <v>135.45706371191136</v>
      </c>
      <c r="AQ20" s="24">
        <f t="shared" si="12"/>
        <v>224.79674796747966</v>
      </c>
      <c r="AS20" s="24">
        <f t="shared" si="13"/>
        <v>602.5</v>
      </c>
      <c r="AU20" s="24">
        <f t="shared" si="14"/>
        <v>1349.6894409937888</v>
      </c>
      <c r="AV20" s="24">
        <f t="shared" si="15"/>
        <v>1617.8861788617885</v>
      </c>
      <c r="AW20" s="29">
        <f t="shared" si="16"/>
        <v>0.3698598358828063</v>
      </c>
      <c r="AX20" s="25">
        <f t="shared" si="17"/>
        <v>2.7403328843594945</v>
      </c>
      <c r="AY20" s="26">
        <f t="shared" si="18"/>
        <v>0.14071083409848012</v>
      </c>
      <c r="AZ20" s="23">
        <f t="shared" si="19"/>
        <v>4.5642258391790564</v>
      </c>
      <c r="BA20" s="25">
        <f t="shared" si="20"/>
        <v>0.30061531355536897</v>
      </c>
      <c r="BB20" s="37">
        <f t="shared" si="21"/>
        <v>0.19708837812208202</v>
      </c>
      <c r="BC20" s="23">
        <f t="shared" si="22"/>
        <v>-13.541289546655051</v>
      </c>
      <c r="BD20" s="38">
        <f t="shared" si="23"/>
        <v>-13.35567917963305</v>
      </c>
      <c r="BE20" s="24">
        <f t="shared" si="24"/>
        <v>10.018862994808016</v>
      </c>
    </row>
    <row r="21" spans="1:57" s="6" customFormat="1" ht="16" customHeight="1">
      <c r="A21" s="6" t="s">
        <v>172</v>
      </c>
      <c r="B21" s="6" t="s">
        <v>173</v>
      </c>
      <c r="C21" s="6" t="s">
        <v>184</v>
      </c>
      <c r="D21" s="24">
        <v>5</v>
      </c>
      <c r="E21" s="24">
        <v>500</v>
      </c>
      <c r="F21" s="6">
        <v>0.75</v>
      </c>
      <c r="G21" s="6">
        <v>0.85</v>
      </c>
      <c r="H21" s="17">
        <f t="shared" si="0"/>
        <v>1045.582436149439</v>
      </c>
      <c r="I21" s="17">
        <f t="shared" si="1"/>
        <v>772.58243614943899</v>
      </c>
      <c r="J21" s="6">
        <v>81</v>
      </c>
      <c r="K21" s="6">
        <v>6.9</v>
      </c>
      <c r="M21" s="6">
        <v>478</v>
      </c>
      <c r="Q21" s="6">
        <v>40.299999999999997</v>
      </c>
      <c r="R21" s="6">
        <v>57.5</v>
      </c>
      <c r="S21" s="17">
        <f t="shared" si="2"/>
        <v>40.309975887515023</v>
      </c>
      <c r="T21" s="20">
        <f t="shared" si="3"/>
        <v>57.960659404938433</v>
      </c>
      <c r="U21" s="6">
        <v>-2.8E-3</v>
      </c>
      <c r="V21" s="6">
        <v>8.27</v>
      </c>
      <c r="W21" s="6">
        <v>1.4999999999999999E-2</v>
      </c>
      <c r="X21" s="6">
        <v>1</v>
      </c>
      <c r="Y21" s="6">
        <v>2.34</v>
      </c>
      <c r="Z21" s="6">
        <v>0.76</v>
      </c>
      <c r="AA21" s="6">
        <v>8.9</v>
      </c>
      <c r="AB21" s="6">
        <v>2.91</v>
      </c>
      <c r="AC21" s="6">
        <v>32.5</v>
      </c>
      <c r="AE21" s="6">
        <v>56.9</v>
      </c>
      <c r="AG21" s="6">
        <v>139.9</v>
      </c>
      <c r="AH21" s="6">
        <v>26.6</v>
      </c>
      <c r="AI21" s="23">
        <f t="shared" si="4"/>
        <v>-1.1814345991561183E-2</v>
      </c>
      <c r="AJ21" s="23">
        <f t="shared" si="5"/>
        <v>13.491027732463294</v>
      </c>
      <c r="AK21" s="23">
        <f t="shared" si="6"/>
        <v>0.16163793103448276</v>
      </c>
      <c r="AL21" s="23">
        <f t="shared" si="7"/>
        <v>2.1881838074398248</v>
      </c>
      <c r="AM21" s="24">
        <f t="shared" si="8"/>
        <v>15.810810810810811</v>
      </c>
      <c r="AN21" s="29">
        <f t="shared" si="9"/>
        <v>13.49911190053286</v>
      </c>
      <c r="AO21" s="24">
        <f t="shared" si="10"/>
        <v>44.723618090452263</v>
      </c>
      <c r="AP21" s="24">
        <f t="shared" si="11"/>
        <v>80.609418282548475</v>
      </c>
      <c r="AQ21" s="24">
        <f t="shared" si="12"/>
        <v>132.11382113821139</v>
      </c>
      <c r="AS21" s="24">
        <f t="shared" si="13"/>
        <v>355.625</v>
      </c>
      <c r="AU21" s="24">
        <f t="shared" si="14"/>
        <v>868.94409937888202</v>
      </c>
      <c r="AV21" s="24">
        <f t="shared" si="15"/>
        <v>1081.30081300813</v>
      </c>
      <c r="AW21" s="29">
        <f t="shared" si="16"/>
        <v>0.50764447201499541</v>
      </c>
      <c r="AX21" s="25">
        <f t="shared" si="17"/>
        <v>5.8420843455621343</v>
      </c>
      <c r="AY21" s="26">
        <f t="shared" si="18"/>
        <v>0.14268298678629887</v>
      </c>
      <c r="AZ21" s="23">
        <f t="shared" si="19"/>
        <v>8.4000955659331051</v>
      </c>
      <c r="BA21" s="25">
        <f t="shared" si="20"/>
        <v>0.41353693572181333</v>
      </c>
      <c r="BB21" s="37">
        <f t="shared" si="21"/>
        <v>0.75082419273593892</v>
      </c>
      <c r="BC21" s="23">
        <f t="shared" si="22"/>
        <v>-15.357772799086369</v>
      </c>
      <c r="BD21" s="38">
        <f t="shared" si="23"/>
        <v>-14.618565120655767</v>
      </c>
      <c r="BE21" s="24">
        <f t="shared" si="24"/>
        <v>12.898325677271393</v>
      </c>
    </row>
    <row r="22" spans="1:57" s="6" customFormat="1" ht="16" customHeight="1">
      <c r="A22" s="6" t="s">
        <v>172</v>
      </c>
      <c r="B22" s="6" t="s">
        <v>173</v>
      </c>
      <c r="C22" s="6" t="s">
        <v>185</v>
      </c>
      <c r="D22" s="24">
        <v>5.0729270522765813</v>
      </c>
      <c r="E22" s="24">
        <v>500</v>
      </c>
      <c r="F22" s="6">
        <v>0.75</v>
      </c>
      <c r="G22" s="6">
        <v>0.85</v>
      </c>
      <c r="H22" s="17">
        <f t="shared" si="0"/>
        <v>1072.3345934651145</v>
      </c>
      <c r="I22" s="17">
        <f t="shared" si="1"/>
        <v>799.33459346511449</v>
      </c>
      <c r="J22" s="6">
        <v>178</v>
      </c>
      <c r="K22" s="6">
        <v>9.1</v>
      </c>
      <c r="M22" s="6">
        <v>661</v>
      </c>
      <c r="Q22" s="6">
        <v>90.4</v>
      </c>
      <c r="R22" s="6">
        <v>101.4</v>
      </c>
      <c r="S22" s="17">
        <f t="shared" si="2"/>
        <v>90.422704101766854</v>
      </c>
      <c r="T22" s="20">
        <f t="shared" si="3"/>
        <v>102.213563558372</v>
      </c>
      <c r="U22" s="6">
        <v>4.5999999999999999E-2</v>
      </c>
      <c r="V22" s="6">
        <v>10.25</v>
      </c>
      <c r="W22" s="6">
        <v>8.3000000000000004E-2</v>
      </c>
      <c r="X22" s="6">
        <v>1.68</v>
      </c>
      <c r="Y22" s="6">
        <v>3.13</v>
      </c>
      <c r="Z22" s="6">
        <v>0.98</v>
      </c>
      <c r="AA22" s="6">
        <v>12.3</v>
      </c>
      <c r="AB22" s="6">
        <v>4.25</v>
      </c>
      <c r="AC22" s="6">
        <v>47.3</v>
      </c>
      <c r="AE22" s="6">
        <v>85.4</v>
      </c>
      <c r="AG22" s="6">
        <v>214.1</v>
      </c>
      <c r="AH22" s="6">
        <v>40.6</v>
      </c>
      <c r="AI22" s="23">
        <f t="shared" si="4"/>
        <v>0.19409282700421943</v>
      </c>
      <c r="AJ22" s="23">
        <f t="shared" si="5"/>
        <v>16.721044045676997</v>
      </c>
      <c r="AK22" s="23">
        <f t="shared" si="6"/>
        <v>0.89439655172413801</v>
      </c>
      <c r="AL22" s="23">
        <f t="shared" si="7"/>
        <v>3.6761487964989055</v>
      </c>
      <c r="AM22" s="24">
        <f t="shared" si="8"/>
        <v>21.148648648648649</v>
      </c>
      <c r="AN22" s="29">
        <f t="shared" si="9"/>
        <v>17.406749555950267</v>
      </c>
      <c r="AO22" s="24">
        <f t="shared" si="10"/>
        <v>61.809045226130657</v>
      </c>
      <c r="AP22" s="24">
        <f t="shared" si="11"/>
        <v>117.72853185595568</v>
      </c>
      <c r="AQ22" s="24">
        <f t="shared" si="12"/>
        <v>192.27642276422765</v>
      </c>
      <c r="AS22" s="24">
        <f t="shared" si="13"/>
        <v>533.75</v>
      </c>
      <c r="AU22" s="24">
        <f t="shared" si="14"/>
        <v>1329.8136645962732</v>
      </c>
      <c r="AV22" s="24">
        <f t="shared" si="15"/>
        <v>1650.4065040650407</v>
      </c>
      <c r="AW22" s="29">
        <f t="shared" si="16"/>
        <v>0.48144907013403282</v>
      </c>
      <c r="AX22" s="25">
        <f t="shared" si="17"/>
        <v>3.6204250486491967</v>
      </c>
      <c r="AY22" s="26">
        <f t="shared" si="18"/>
        <v>0.10028023329943332</v>
      </c>
      <c r="AZ22" s="23">
        <f t="shared" si="19"/>
        <v>11.232259731689231</v>
      </c>
      <c r="BA22" s="25">
        <f t="shared" si="20"/>
        <v>0.33608482565429221</v>
      </c>
      <c r="BB22" s="37">
        <f t="shared" si="21"/>
        <v>0.39074271965764917</v>
      </c>
      <c r="BC22" s="23">
        <f t="shared" si="22"/>
        <v>-14.764364756320262</v>
      </c>
      <c r="BD22" s="38">
        <f t="shared" si="23"/>
        <v>-14.38514848556698</v>
      </c>
      <c r="BE22" s="24">
        <f t="shared" si="24"/>
        <v>6.881273979607367</v>
      </c>
    </row>
    <row r="23" spans="1:57" s="6" customFormat="1" ht="16" customHeight="1">
      <c r="A23" s="6" t="s">
        <v>172</v>
      </c>
      <c r="B23" s="6" t="s">
        <v>173</v>
      </c>
      <c r="C23" s="6" t="s">
        <v>197</v>
      </c>
      <c r="D23" s="24">
        <v>5.0999999999999996</v>
      </c>
      <c r="E23" s="24">
        <v>500</v>
      </c>
      <c r="F23" s="6">
        <v>0.75</v>
      </c>
      <c r="G23" s="6">
        <v>0.85</v>
      </c>
      <c r="H23" s="17">
        <f t="shared" si="0"/>
        <v>1031.0307368609012</v>
      </c>
      <c r="I23" s="17">
        <f t="shared" si="1"/>
        <v>758.03073686090124</v>
      </c>
      <c r="J23" s="6">
        <v>102</v>
      </c>
      <c r="K23" s="6">
        <v>5.9</v>
      </c>
      <c r="M23" s="6">
        <v>351.9</v>
      </c>
      <c r="Q23" s="6">
        <v>42</v>
      </c>
      <c r="R23" s="6">
        <v>67.7</v>
      </c>
      <c r="S23" s="17">
        <f t="shared" si="2"/>
        <v>42.010604666971851</v>
      </c>
      <c r="T23" s="20">
        <f t="shared" si="3"/>
        <v>68.243475641795229</v>
      </c>
      <c r="U23" s="6">
        <v>-3.4399999999999999E-3</v>
      </c>
      <c r="V23" s="6">
        <v>8.02</v>
      </c>
      <c r="W23" s="6">
        <v>3.8999999999999998E-3</v>
      </c>
      <c r="X23" s="6">
        <v>0.109</v>
      </c>
      <c r="Y23" s="6">
        <v>0.69</v>
      </c>
      <c r="Z23" s="6">
        <v>0.29299999999999998</v>
      </c>
      <c r="AA23" s="6">
        <v>4.2</v>
      </c>
      <c r="AB23" s="6">
        <v>1.4</v>
      </c>
      <c r="AC23" s="6">
        <v>19</v>
      </c>
      <c r="AE23" s="6">
        <v>38</v>
      </c>
      <c r="AG23" s="6">
        <v>101.8</v>
      </c>
      <c r="AH23" s="6">
        <v>20.82</v>
      </c>
      <c r="AI23" s="23">
        <f t="shared" si="4"/>
        <v>-1.4514767932489452E-2</v>
      </c>
      <c r="AJ23" s="23">
        <f t="shared" si="5"/>
        <v>13.083197389885807</v>
      </c>
      <c r="AK23" s="23">
        <f t="shared" si="6"/>
        <v>4.2025862068965518E-2</v>
      </c>
      <c r="AL23" s="23">
        <f t="shared" si="7"/>
        <v>0.2385120350109409</v>
      </c>
      <c r="AM23" s="24">
        <f t="shared" si="8"/>
        <v>4.6621621621621623</v>
      </c>
      <c r="AN23" s="29">
        <f t="shared" si="9"/>
        <v>5.2042628774422726</v>
      </c>
      <c r="AO23" s="24">
        <f t="shared" si="10"/>
        <v>21.105527638190953</v>
      </c>
      <c r="AP23" s="24">
        <f t="shared" si="11"/>
        <v>38.781163434903043</v>
      </c>
      <c r="AQ23" s="24">
        <f t="shared" si="12"/>
        <v>77.235772357723576</v>
      </c>
      <c r="AS23" s="24">
        <f t="shared" si="13"/>
        <v>237.5</v>
      </c>
      <c r="AU23" s="24">
        <f t="shared" si="14"/>
        <v>632.2981366459627</v>
      </c>
      <c r="AV23" s="24">
        <f t="shared" si="15"/>
        <v>846.34146341463418</v>
      </c>
      <c r="AW23" s="29">
        <f t="shared" si="16"/>
        <v>0.52464728628771573</v>
      </c>
      <c r="AX23" s="25">
        <f t="shared" si="17"/>
        <v>8.2974669049432457</v>
      </c>
      <c r="AY23" s="26">
        <f t="shared" si="18"/>
        <v>0.11752039187007948</v>
      </c>
      <c r="AZ23" s="23">
        <f t="shared" si="19"/>
        <v>11.566690786744953</v>
      </c>
      <c r="BA23" s="25">
        <f t="shared" si="20"/>
        <v>0.39968494855493653</v>
      </c>
      <c r="BB23" s="37">
        <f t="shared" si="21"/>
        <v>0.69166773956326955</v>
      </c>
      <c r="BC23" s="23">
        <f t="shared" si="22"/>
        <v>-15.693611176240836</v>
      </c>
      <c r="BD23" s="38">
        <f t="shared" si="23"/>
        <v>-15.013545154471354</v>
      </c>
      <c r="BE23" s="24">
        <f t="shared" si="24"/>
        <v>155.87782202454866</v>
      </c>
    </row>
    <row r="24" spans="1:57" s="6" customFormat="1" ht="16" customHeight="1">
      <c r="A24" s="6" t="s">
        <v>172</v>
      </c>
      <c r="B24" s="6" t="s">
        <v>173</v>
      </c>
      <c r="C24" s="6" t="s">
        <v>198</v>
      </c>
      <c r="D24" s="24">
        <v>5.0999999999999996</v>
      </c>
      <c r="E24" s="24">
        <v>500</v>
      </c>
      <c r="F24" s="6">
        <v>0.75</v>
      </c>
      <c r="G24" s="6">
        <v>0.85</v>
      </c>
      <c r="H24" s="17">
        <f t="shared" si="0"/>
        <v>1026.2701211353763</v>
      </c>
      <c r="I24" s="17">
        <f t="shared" si="1"/>
        <v>753.27012113537626</v>
      </c>
      <c r="J24" s="6">
        <v>149</v>
      </c>
      <c r="K24" s="6">
        <v>5.6</v>
      </c>
      <c r="M24" s="6">
        <v>447</v>
      </c>
      <c r="Q24" s="6">
        <v>61.6</v>
      </c>
      <c r="R24" s="6">
        <v>102</v>
      </c>
      <c r="S24" s="17">
        <f t="shared" si="2"/>
        <v>61.615553511558709</v>
      </c>
      <c r="T24" s="20">
        <f t="shared" si="3"/>
        <v>102.81882593003121</v>
      </c>
      <c r="U24" s="6">
        <v>-3.424E-3</v>
      </c>
      <c r="V24" s="6">
        <v>9.41</v>
      </c>
      <c r="W24" s="6">
        <v>2.8000000000000001E-2</v>
      </c>
      <c r="X24" s="6">
        <v>0.41</v>
      </c>
      <c r="Y24" s="6">
        <v>1.36</v>
      </c>
      <c r="Z24" s="6">
        <v>0.36499999999999999</v>
      </c>
      <c r="AA24" s="6">
        <v>5.86</v>
      </c>
      <c r="AB24" s="6">
        <v>1.93</v>
      </c>
      <c r="AC24" s="6">
        <v>26.8</v>
      </c>
      <c r="AE24" s="6">
        <v>54</v>
      </c>
      <c r="AG24" s="6">
        <v>140.5</v>
      </c>
      <c r="AH24" s="6">
        <v>28.97</v>
      </c>
      <c r="AI24" s="23">
        <f t="shared" si="4"/>
        <v>-1.4447257383966246E-2</v>
      </c>
      <c r="AJ24" s="23">
        <f t="shared" si="5"/>
        <v>15.350734094616641</v>
      </c>
      <c r="AK24" s="23">
        <f t="shared" si="6"/>
        <v>0.30172413793103453</v>
      </c>
      <c r="AL24" s="23">
        <f t="shared" si="7"/>
        <v>0.89715536105032812</v>
      </c>
      <c r="AM24" s="24">
        <f t="shared" si="8"/>
        <v>9.1891891891891895</v>
      </c>
      <c r="AN24" s="29">
        <f t="shared" si="9"/>
        <v>6.4831261101243332</v>
      </c>
      <c r="AO24" s="24">
        <f t="shared" si="10"/>
        <v>29.447236180904522</v>
      </c>
      <c r="AP24" s="24">
        <f t="shared" si="11"/>
        <v>53.46260387811634</v>
      </c>
      <c r="AQ24" s="24">
        <f t="shared" si="12"/>
        <v>108.94308943089432</v>
      </c>
      <c r="AS24" s="24">
        <f t="shared" si="13"/>
        <v>337.5</v>
      </c>
      <c r="AU24" s="24">
        <f t="shared" si="14"/>
        <v>872.67080745341616</v>
      </c>
      <c r="AV24" s="24">
        <f t="shared" si="15"/>
        <v>1177.6422764227641</v>
      </c>
      <c r="AW24" s="29">
        <f t="shared" si="16"/>
        <v>0.39411557979495782</v>
      </c>
      <c r="AX24" s="25">
        <f t="shared" si="17"/>
        <v>4.516199882347915</v>
      </c>
      <c r="AY24" s="26">
        <f t="shared" si="18"/>
        <v>9.152020473763782E-2</v>
      </c>
      <c r="AZ24" s="23">
        <f t="shared" si="19"/>
        <v>18.360504630362716</v>
      </c>
      <c r="BA24" s="25">
        <f t="shared" si="20"/>
        <v>0.39215638429922045</v>
      </c>
      <c r="BB24" s="37">
        <f t="shared" si="21"/>
        <v>0.65865024026213925</v>
      </c>
      <c r="BC24" s="23">
        <f t="shared" si="22"/>
        <v>-15.805574970295991</v>
      </c>
      <c r="BD24" s="38">
        <f t="shared" si="23"/>
        <v>-15.158518189323562</v>
      </c>
      <c r="BE24" s="24">
        <f t="shared" si="24"/>
        <v>38.278416987176328</v>
      </c>
    </row>
    <row r="25" spans="1:57" s="6" customFormat="1" ht="16" customHeight="1">
      <c r="A25" s="6" t="s">
        <v>172</v>
      </c>
      <c r="B25" s="6" t="s">
        <v>173</v>
      </c>
      <c r="C25" s="6" t="s">
        <v>199</v>
      </c>
      <c r="D25" s="24">
        <v>5.3</v>
      </c>
      <c r="E25" s="24">
        <v>500</v>
      </c>
      <c r="F25" s="6">
        <v>0.75</v>
      </c>
      <c r="G25" s="6">
        <v>0.85</v>
      </c>
      <c r="H25" s="17">
        <f t="shared" si="0"/>
        <v>998.71953565270405</v>
      </c>
      <c r="I25" s="17">
        <f t="shared" si="1"/>
        <v>725.71953565270405</v>
      </c>
      <c r="J25" s="6">
        <v>142</v>
      </c>
      <c r="K25" s="6">
        <v>4.0999999999999996</v>
      </c>
      <c r="M25" s="6">
        <v>406</v>
      </c>
      <c r="Q25" s="6">
        <v>63.2</v>
      </c>
      <c r="R25" s="6">
        <v>99</v>
      </c>
      <c r="S25" s="17">
        <f t="shared" si="2"/>
        <v>63.216583365235699</v>
      </c>
      <c r="T25" s="20">
        <f t="shared" si="3"/>
        <v>99.797957889127929</v>
      </c>
      <c r="U25" s="6">
        <v>-3.8500000000000001E-3</v>
      </c>
      <c r="V25" s="6">
        <v>9.17</v>
      </c>
      <c r="W25" s="6">
        <v>1.2E-2</v>
      </c>
      <c r="X25" s="6">
        <v>0.4</v>
      </c>
      <c r="Y25" s="6">
        <v>0.75</v>
      </c>
      <c r="Z25" s="6">
        <v>0.29699999999999999</v>
      </c>
      <c r="AA25" s="6">
        <v>5.78</v>
      </c>
      <c r="AB25" s="6">
        <v>1.92</v>
      </c>
      <c r="AC25" s="6">
        <v>22.5</v>
      </c>
      <c r="AE25" s="6">
        <v>46.5</v>
      </c>
      <c r="AG25" s="6">
        <v>129.1</v>
      </c>
      <c r="AH25" s="6">
        <v>26.9</v>
      </c>
      <c r="AI25" s="23">
        <f t="shared" si="4"/>
        <v>-1.6244725738396627E-2</v>
      </c>
      <c r="AJ25" s="23">
        <f t="shared" si="5"/>
        <v>14.959216965742252</v>
      </c>
      <c r="AK25" s="23">
        <f t="shared" si="6"/>
        <v>0.12931034482758622</v>
      </c>
      <c r="AL25" s="23">
        <f t="shared" si="7"/>
        <v>0.87527352297592997</v>
      </c>
      <c r="AM25" s="24">
        <f t="shared" si="8"/>
        <v>5.0675675675675675</v>
      </c>
      <c r="AN25" s="29">
        <f t="shared" si="9"/>
        <v>5.2753108348134985</v>
      </c>
      <c r="AO25" s="24">
        <f t="shared" si="10"/>
        <v>29.045226130653266</v>
      </c>
      <c r="AP25" s="24">
        <f t="shared" si="11"/>
        <v>53.185595567867033</v>
      </c>
      <c r="AQ25" s="24">
        <f t="shared" si="12"/>
        <v>91.463414634146346</v>
      </c>
      <c r="AS25" s="24">
        <f t="shared" si="13"/>
        <v>290.625</v>
      </c>
      <c r="AU25" s="24">
        <f t="shared" si="14"/>
        <v>801.86335403726707</v>
      </c>
      <c r="AV25" s="24">
        <f t="shared" si="15"/>
        <v>1093.4959349593496</v>
      </c>
      <c r="AW25" s="29">
        <f t="shared" si="16"/>
        <v>0.434821389441641</v>
      </c>
      <c r="AX25" s="25">
        <f t="shared" si="17"/>
        <v>5.4226370023318511</v>
      </c>
      <c r="AY25" s="26">
        <f t="shared" si="18"/>
        <v>9.1885647702206016E-2</v>
      </c>
      <c r="AZ25" s="23">
        <f t="shared" si="19"/>
        <v>24.340965338811692</v>
      </c>
      <c r="BA25" s="25">
        <f t="shared" si="20"/>
        <v>0.45333221260212569</v>
      </c>
      <c r="BB25" s="37">
        <f t="shared" si="21"/>
        <v>0.91035348678359385</v>
      </c>
      <c r="BC25" s="23">
        <f t="shared" si="22"/>
        <v>-16.474823808324555</v>
      </c>
      <c r="BD25" s="38">
        <f t="shared" si="23"/>
        <v>-15.576126738120946</v>
      </c>
      <c r="BE25" s="24">
        <f t="shared" si="24"/>
        <v>42.095826067390448</v>
      </c>
    </row>
    <row r="26" spans="1:57" s="6" customFormat="1" ht="16" customHeight="1">
      <c r="A26" s="6" t="s">
        <v>172</v>
      </c>
      <c r="B26" s="6" t="s">
        <v>173</v>
      </c>
      <c r="C26" s="6" t="s">
        <v>200</v>
      </c>
      <c r="D26" s="24">
        <v>5.4</v>
      </c>
      <c r="E26" s="24">
        <v>500</v>
      </c>
      <c r="F26" s="6">
        <v>0.75</v>
      </c>
      <c r="G26" s="6">
        <v>0.85</v>
      </c>
      <c r="H26" s="17">
        <f t="shared" si="0"/>
        <v>977.85256166589147</v>
      </c>
      <c r="I26" s="17">
        <f t="shared" si="1"/>
        <v>704.85256166589147</v>
      </c>
      <c r="J26" s="6">
        <v>112</v>
      </c>
      <c r="K26" s="6">
        <v>3.2</v>
      </c>
      <c r="M26" s="6">
        <v>331.1</v>
      </c>
      <c r="Q26" s="6">
        <v>64.2</v>
      </c>
      <c r="R26" s="6">
        <v>105.2</v>
      </c>
      <c r="S26" s="17">
        <f t="shared" si="2"/>
        <v>64.217163647271931</v>
      </c>
      <c r="T26" s="20">
        <f t="shared" si="3"/>
        <v>106.04963926993683</v>
      </c>
      <c r="U26" s="6">
        <v>-3.96E-3</v>
      </c>
      <c r="V26" s="6">
        <v>8.17</v>
      </c>
      <c r="W26" s="6">
        <v>5.9999999999999995E-4</v>
      </c>
      <c r="X26" s="6">
        <v>0.27</v>
      </c>
      <c r="Y26" s="6">
        <v>0.56000000000000005</v>
      </c>
      <c r="Z26" s="6">
        <v>0.33</v>
      </c>
      <c r="AA26" s="6">
        <v>3.76</v>
      </c>
      <c r="AB26" s="6">
        <v>1.55</v>
      </c>
      <c r="AC26" s="6">
        <v>17.399999999999999</v>
      </c>
      <c r="AE26" s="6">
        <v>34.799999999999997</v>
      </c>
      <c r="AG26" s="6">
        <v>92.1</v>
      </c>
      <c r="AH26" s="6">
        <v>19.670000000000002</v>
      </c>
      <c r="AI26" s="23">
        <f t="shared" si="4"/>
        <v>-1.6708860759493672E-2</v>
      </c>
      <c r="AJ26" s="23">
        <f t="shared" si="5"/>
        <v>13.327895595432301</v>
      </c>
      <c r="AK26" s="23">
        <f t="shared" si="6"/>
        <v>6.4655172413793103E-3</v>
      </c>
      <c r="AL26" s="23">
        <f t="shared" si="7"/>
        <v>0.5908096280087527</v>
      </c>
      <c r="AM26" s="24">
        <f t="shared" si="8"/>
        <v>3.7837837837837842</v>
      </c>
      <c r="AN26" s="29">
        <f t="shared" si="9"/>
        <v>5.8614564831261102</v>
      </c>
      <c r="AO26" s="24">
        <f t="shared" si="10"/>
        <v>18.894472361809044</v>
      </c>
      <c r="AP26" s="24">
        <f t="shared" si="11"/>
        <v>42.936288088642662</v>
      </c>
      <c r="AQ26" s="24">
        <f t="shared" si="12"/>
        <v>70.731707317073159</v>
      </c>
      <c r="AS26" s="24">
        <f t="shared" si="13"/>
        <v>217.49999999999997</v>
      </c>
      <c r="AU26" s="24">
        <f t="shared" si="14"/>
        <v>572.04968944099369</v>
      </c>
      <c r="AV26" s="24">
        <f t="shared" si="15"/>
        <v>799.59349593495938</v>
      </c>
      <c r="AW26" s="29">
        <f t="shared" si="16"/>
        <v>0.69322625866606902</v>
      </c>
      <c r="AX26" s="25">
        <f t="shared" si="17"/>
        <v>12.118287475052892</v>
      </c>
      <c r="AY26" s="26">
        <f t="shared" si="18"/>
        <v>7.7039394534895403E-2</v>
      </c>
      <c r="AZ26" s="23">
        <f t="shared" si="19"/>
        <v>33.140512271855258</v>
      </c>
      <c r="BA26" s="25">
        <f t="shared" si="20"/>
        <v>0.44349882093631865</v>
      </c>
      <c r="BB26" s="37">
        <f t="shared" si="21"/>
        <v>0.87227609336401568</v>
      </c>
      <c r="BC26" s="23">
        <f t="shared" si="22"/>
        <v>-17.007293424634728</v>
      </c>
      <c r="BD26" s="38">
        <f t="shared" si="23"/>
        <v>-16.146664223740288</v>
      </c>
      <c r="BE26" s="24">
        <f t="shared" si="24"/>
        <v>68.132580367490647</v>
      </c>
    </row>
    <row r="27" spans="1:57" s="6" customFormat="1" ht="16" customHeight="1">
      <c r="A27" s="6" t="s">
        <v>172</v>
      </c>
      <c r="B27" s="6" t="s">
        <v>173</v>
      </c>
      <c r="C27" s="6" t="s">
        <v>201</v>
      </c>
      <c r="D27" s="24">
        <v>5.5</v>
      </c>
      <c r="E27" s="24">
        <v>500</v>
      </c>
      <c r="F27" s="6">
        <v>0.75</v>
      </c>
      <c r="G27" s="6">
        <v>0.85</v>
      </c>
      <c r="H27" s="17">
        <f t="shared" si="0"/>
        <v>1002.8320974419936</v>
      </c>
      <c r="I27" s="17">
        <f t="shared" si="1"/>
        <v>729.8320974419936</v>
      </c>
      <c r="J27" s="6">
        <v>112</v>
      </c>
      <c r="K27" s="6">
        <v>4.3</v>
      </c>
      <c r="M27" s="6">
        <v>321.39999999999998</v>
      </c>
      <c r="Q27" s="6">
        <v>41.4</v>
      </c>
      <c r="R27" s="6">
        <v>76.8</v>
      </c>
      <c r="S27" s="17">
        <f t="shared" si="2"/>
        <v>41.411273139948541</v>
      </c>
      <c r="T27" s="20">
        <f t="shared" si="3"/>
        <v>77.421516091720946</v>
      </c>
      <c r="U27" s="6">
        <v>-3.4919999999999999E-3</v>
      </c>
      <c r="V27" s="6">
        <v>7.8</v>
      </c>
      <c r="W27" s="6">
        <v>-1.526E-3</v>
      </c>
      <c r="X27" s="6">
        <v>7.3999999999999996E-2</v>
      </c>
      <c r="Y27" s="6">
        <v>0.52</v>
      </c>
      <c r="Z27" s="6">
        <v>0.24</v>
      </c>
      <c r="AA27" s="6">
        <v>3.22</v>
      </c>
      <c r="AB27" s="6">
        <v>1.3</v>
      </c>
      <c r="AC27" s="6">
        <v>16.899999999999999</v>
      </c>
      <c r="AE27" s="6">
        <v>33.6</v>
      </c>
      <c r="AG27" s="6">
        <v>95.1</v>
      </c>
      <c r="AH27" s="6">
        <v>18.91</v>
      </c>
      <c r="AI27" s="23">
        <f t="shared" si="4"/>
        <v>-1.4734177215189874E-2</v>
      </c>
      <c r="AJ27" s="23">
        <f t="shared" si="5"/>
        <v>12.724306688417618</v>
      </c>
      <c r="AK27" s="23">
        <f t="shared" si="6"/>
        <v>-1.644396551724138E-2</v>
      </c>
      <c r="AL27" s="23">
        <f t="shared" si="7"/>
        <v>0.16192560175054704</v>
      </c>
      <c r="AM27" s="24">
        <f t="shared" si="8"/>
        <v>3.5135135135135136</v>
      </c>
      <c r="AN27" s="29">
        <f t="shared" si="9"/>
        <v>4.2628774422735338</v>
      </c>
      <c r="AO27" s="24">
        <f t="shared" si="10"/>
        <v>16.180904522613066</v>
      </c>
      <c r="AP27" s="24">
        <f t="shared" si="11"/>
        <v>36.011080332409975</v>
      </c>
      <c r="AQ27" s="24">
        <f t="shared" si="12"/>
        <v>68.699186991869908</v>
      </c>
      <c r="AS27" s="24">
        <f t="shared" si="13"/>
        <v>210</v>
      </c>
      <c r="AU27" s="24">
        <f t="shared" si="14"/>
        <v>590.68322981366452</v>
      </c>
      <c r="AV27" s="24">
        <f t="shared" si="15"/>
        <v>768.69918699186996</v>
      </c>
      <c r="AW27" s="29">
        <f t="shared" si="16"/>
        <v>0.56536723381799414</v>
      </c>
      <c r="AX27" s="25">
        <f t="shared" si="17"/>
        <v>9.5714116345633098</v>
      </c>
      <c r="AY27" s="26">
        <f t="shared" si="18"/>
        <v>0.1007471875229022</v>
      </c>
      <c r="AZ27" s="23">
        <f t="shared" si="19"/>
        <v>18.005003742260687</v>
      </c>
      <c r="BA27" s="25">
        <f t="shared" si="20"/>
        <v>0.4274935230513392</v>
      </c>
      <c r="BB27" s="37">
        <f t="shared" si="21"/>
        <v>0.8084562974183116</v>
      </c>
      <c r="BC27" s="23">
        <f t="shared" si="22"/>
        <v>-16.3725478280763</v>
      </c>
      <c r="BD27" s="38">
        <f t="shared" si="23"/>
        <v>-15.575722460197113</v>
      </c>
      <c r="BE27" s="24">
        <f t="shared" si="24"/>
        <v>244.49655042158682</v>
      </c>
    </row>
    <row r="28" spans="1:57" s="6" customFormat="1" ht="16" customHeight="1">
      <c r="A28" s="6" t="s">
        <v>172</v>
      </c>
      <c r="B28" s="6" t="s">
        <v>173</v>
      </c>
      <c r="C28" s="6" t="s">
        <v>186</v>
      </c>
      <c r="D28" s="24">
        <v>5.5326167688422103</v>
      </c>
      <c r="E28" s="24">
        <v>500</v>
      </c>
      <c r="F28" s="6">
        <v>0.75</v>
      </c>
      <c r="G28" s="6">
        <v>0.85</v>
      </c>
      <c r="H28" s="17">
        <f t="shared" si="0"/>
        <v>1034.0950200264178</v>
      </c>
      <c r="I28" s="17">
        <f t="shared" si="1"/>
        <v>761.09502002641784</v>
      </c>
      <c r="J28" s="6">
        <v>114</v>
      </c>
      <c r="K28" s="6">
        <v>6.1</v>
      </c>
      <c r="M28" s="6">
        <v>364</v>
      </c>
      <c r="Q28" s="6">
        <v>51.7</v>
      </c>
      <c r="R28" s="6">
        <v>83.6</v>
      </c>
      <c r="S28" s="17">
        <f t="shared" si="2"/>
        <v>51.714161307406293</v>
      </c>
      <c r="T28" s="20">
        <f t="shared" si="3"/>
        <v>84.276988953971326</v>
      </c>
      <c r="U28" s="6">
        <v>-3.3800000000000002E-3</v>
      </c>
      <c r="V28" s="6">
        <v>8.4499999999999993</v>
      </c>
      <c r="W28" s="6">
        <v>7.4000000000000003E-3</v>
      </c>
      <c r="X28" s="6">
        <v>0.24</v>
      </c>
      <c r="Y28" s="6">
        <v>0.87</v>
      </c>
      <c r="Z28" s="6">
        <v>0.38</v>
      </c>
      <c r="AA28" s="6">
        <v>5.37</v>
      </c>
      <c r="AB28" s="6">
        <v>1.53</v>
      </c>
      <c r="AC28" s="6">
        <v>20.5</v>
      </c>
      <c r="AE28" s="6">
        <v>40.299999999999997</v>
      </c>
      <c r="AG28" s="6">
        <v>112</v>
      </c>
      <c r="AH28" s="6">
        <v>21.59</v>
      </c>
      <c r="AI28" s="23">
        <f t="shared" si="4"/>
        <v>-1.4261603375527428E-2</v>
      </c>
      <c r="AJ28" s="23">
        <f t="shared" si="5"/>
        <v>13.784665579119086</v>
      </c>
      <c r="AK28" s="23">
        <f t="shared" si="6"/>
        <v>7.9741379310344834E-2</v>
      </c>
      <c r="AL28" s="23">
        <f t="shared" si="7"/>
        <v>0.52516411378555794</v>
      </c>
      <c r="AM28" s="24">
        <f t="shared" si="8"/>
        <v>5.878378378378379</v>
      </c>
      <c r="AN28" s="29">
        <f t="shared" si="9"/>
        <v>6.74955595026643</v>
      </c>
      <c r="AO28" s="24">
        <f t="shared" si="10"/>
        <v>26.984924623115578</v>
      </c>
      <c r="AP28" s="24">
        <f t="shared" si="11"/>
        <v>42.382271468144047</v>
      </c>
      <c r="AQ28" s="24">
        <f t="shared" si="12"/>
        <v>83.333333333333329</v>
      </c>
      <c r="AS28" s="24">
        <f t="shared" si="13"/>
        <v>251.87499999999997</v>
      </c>
      <c r="AU28" s="24">
        <f t="shared" si="14"/>
        <v>695.6521739130435</v>
      </c>
      <c r="AV28" s="24">
        <f t="shared" si="15"/>
        <v>877.64227642276421</v>
      </c>
      <c r="AW28" s="29">
        <f t="shared" si="16"/>
        <v>0.53590255610153725</v>
      </c>
      <c r="AX28" s="25">
        <f t="shared" si="17"/>
        <v>7.7035992439595979</v>
      </c>
      <c r="AY28" s="26">
        <f t="shared" si="18"/>
        <v>0.10026461677000642</v>
      </c>
      <c r="AZ28" s="23">
        <f t="shared" si="19"/>
        <v>13.815899828519891</v>
      </c>
      <c r="BA28" s="25">
        <f t="shared" si="20"/>
        <v>0.37268102911214956</v>
      </c>
      <c r="BB28" s="37">
        <f t="shared" si="21"/>
        <v>0.57020646970210231</v>
      </c>
      <c r="BC28" s="23">
        <f t="shared" si="22"/>
        <v>-15.62209555663013</v>
      </c>
      <c r="BD28" s="38">
        <f t="shared" si="23"/>
        <v>-15.063460424214096</v>
      </c>
      <c r="BE28" s="24">
        <f t="shared" si="24"/>
        <v>72.110716227763533</v>
      </c>
    </row>
    <row r="29" spans="1:57" s="6" customFormat="1" ht="16" customHeight="1">
      <c r="A29" s="6" t="s">
        <v>172</v>
      </c>
      <c r="B29" s="6" t="s">
        <v>173</v>
      </c>
      <c r="C29" s="6" t="s">
        <v>202</v>
      </c>
      <c r="D29" s="24">
        <v>6</v>
      </c>
      <c r="E29" s="24">
        <v>500</v>
      </c>
      <c r="F29" s="6">
        <v>0.75</v>
      </c>
      <c r="G29" s="6">
        <v>0.85</v>
      </c>
      <c r="H29" s="17">
        <f t="shared" si="0"/>
        <v>1048.2825121935703</v>
      </c>
      <c r="I29" s="17">
        <f t="shared" si="1"/>
        <v>775.28251219357026</v>
      </c>
      <c r="J29" s="6">
        <v>184</v>
      </c>
      <c r="K29" s="6">
        <v>7.1</v>
      </c>
      <c r="M29" s="6">
        <v>672</v>
      </c>
      <c r="Q29" s="6">
        <v>78.599999999999994</v>
      </c>
      <c r="R29" s="6">
        <v>96.1</v>
      </c>
      <c r="S29" s="17">
        <f t="shared" si="2"/>
        <v>78.623348610437105</v>
      </c>
      <c r="T29" s="20">
        <f t="shared" si="3"/>
        <v>96.885507441765782</v>
      </c>
      <c r="U29" s="6">
        <v>0.33</v>
      </c>
      <c r="V29" s="6">
        <v>11.82</v>
      </c>
      <c r="W29" s="6">
        <v>0.21</v>
      </c>
      <c r="X29" s="6">
        <v>2.71</v>
      </c>
      <c r="Y29" s="6">
        <v>3.15</v>
      </c>
      <c r="Z29" s="6">
        <v>0.9</v>
      </c>
      <c r="AA29" s="6">
        <v>15.3</v>
      </c>
      <c r="AB29" s="6">
        <v>4.29</v>
      </c>
      <c r="AC29" s="6">
        <v>51.5</v>
      </c>
      <c r="AE29" s="6">
        <v>85.5</v>
      </c>
      <c r="AG29" s="6">
        <v>203.6</v>
      </c>
      <c r="AH29" s="6">
        <v>38.5</v>
      </c>
      <c r="AI29" s="23">
        <f t="shared" si="4"/>
        <v>1.3924050632911393</v>
      </c>
      <c r="AJ29" s="23">
        <f t="shared" si="5"/>
        <v>19.282218597063622</v>
      </c>
      <c r="AK29" s="23">
        <f t="shared" si="6"/>
        <v>2.2629310344827589</v>
      </c>
      <c r="AL29" s="23">
        <f t="shared" si="7"/>
        <v>5.9299781181619249</v>
      </c>
      <c r="AM29" s="24">
        <f t="shared" si="8"/>
        <v>21.283783783783786</v>
      </c>
      <c r="AN29" s="29">
        <f t="shared" si="9"/>
        <v>15.985790408525755</v>
      </c>
      <c r="AO29" s="24">
        <f t="shared" si="10"/>
        <v>76.884422110552762</v>
      </c>
      <c r="AP29" s="24">
        <f t="shared" si="11"/>
        <v>118.83656509695291</v>
      </c>
      <c r="AQ29" s="24">
        <f t="shared" si="12"/>
        <v>209.34959349593495</v>
      </c>
      <c r="AS29" s="24">
        <f t="shared" si="13"/>
        <v>534.375</v>
      </c>
      <c r="AU29" s="24">
        <f t="shared" si="14"/>
        <v>1264.5962732919254</v>
      </c>
      <c r="AV29" s="24">
        <f t="shared" si="15"/>
        <v>1565.040650406504</v>
      </c>
      <c r="AW29" s="29">
        <f t="shared" si="16"/>
        <v>0.39517596108318603</v>
      </c>
      <c r="AX29" s="25">
        <f t="shared" si="17"/>
        <v>3.1249179633788287</v>
      </c>
      <c r="AY29" s="26">
        <f t="shared" si="18"/>
        <v>0.12199967066389734</v>
      </c>
      <c r="AZ29" s="23">
        <f t="shared" si="19"/>
        <v>13.645846118558561</v>
      </c>
      <c r="BA29" s="25">
        <f t="shared" si="20"/>
        <v>0.45067025315310061</v>
      </c>
      <c r="BB29" s="37">
        <f t="shared" si="21"/>
        <v>0.9001278544772422</v>
      </c>
      <c r="BC29" s="23">
        <f t="shared" si="22"/>
        <v>-15.296494668767471</v>
      </c>
      <c r="BD29" s="38">
        <f t="shared" si="23"/>
        <v>-14.408020673183294</v>
      </c>
      <c r="BE29" s="24">
        <f t="shared" si="24"/>
        <v>4.8387661981956587</v>
      </c>
    </row>
    <row r="30" spans="1:57" s="6" customFormat="1" ht="16" customHeight="1">
      <c r="A30" s="6" t="s">
        <v>172</v>
      </c>
      <c r="B30" s="6" t="s">
        <v>173</v>
      </c>
      <c r="C30" s="6" t="s">
        <v>203</v>
      </c>
      <c r="D30" s="24">
        <v>6.1</v>
      </c>
      <c r="E30" s="24">
        <v>500</v>
      </c>
      <c r="F30" s="6">
        <v>0.75</v>
      </c>
      <c r="G30" s="6">
        <v>0.85</v>
      </c>
      <c r="H30" s="17">
        <f t="shared" si="0"/>
        <v>1019.5847148666529</v>
      </c>
      <c r="I30" s="17">
        <f t="shared" si="1"/>
        <v>746.58471486665292</v>
      </c>
      <c r="J30" s="6">
        <v>169</v>
      </c>
      <c r="K30" s="6">
        <v>5.2</v>
      </c>
      <c r="M30" s="6">
        <v>593</v>
      </c>
      <c r="Q30" s="6">
        <v>81.5</v>
      </c>
      <c r="R30" s="6">
        <v>109.7</v>
      </c>
      <c r="S30" s="17">
        <f t="shared" si="2"/>
        <v>81.524613635306707</v>
      </c>
      <c r="T30" s="20">
        <f t="shared" si="3"/>
        <v>110.59845343774258</v>
      </c>
      <c r="U30" s="6">
        <v>1.7999999999999999E-2</v>
      </c>
      <c r="V30" s="6">
        <v>9.19</v>
      </c>
      <c r="W30" s="6">
        <v>7.0999999999999994E-2</v>
      </c>
      <c r="X30" s="6">
        <v>1.56</v>
      </c>
      <c r="Y30" s="6">
        <v>2.5499999999999998</v>
      </c>
      <c r="Z30" s="6">
        <v>1.01</v>
      </c>
      <c r="AA30" s="6">
        <v>11.7</v>
      </c>
      <c r="AB30" s="6">
        <v>3.69</v>
      </c>
      <c r="AC30" s="6">
        <v>40.6</v>
      </c>
      <c r="AE30" s="6">
        <v>73.400000000000006</v>
      </c>
      <c r="AG30" s="6">
        <v>195.2</v>
      </c>
      <c r="AH30" s="6">
        <v>38.700000000000003</v>
      </c>
      <c r="AI30" s="23">
        <f t="shared" si="4"/>
        <v>7.5949367088607597E-2</v>
      </c>
      <c r="AJ30" s="23">
        <f t="shared" si="5"/>
        <v>14.99184339314845</v>
      </c>
      <c r="AK30" s="23">
        <f t="shared" si="6"/>
        <v>0.76508620689655171</v>
      </c>
      <c r="AL30" s="23">
        <f t="shared" si="7"/>
        <v>3.4135667396061269</v>
      </c>
      <c r="AM30" s="24">
        <f t="shared" si="8"/>
        <v>17.22972972972973</v>
      </c>
      <c r="AN30" s="29">
        <f t="shared" si="9"/>
        <v>17.939609236234457</v>
      </c>
      <c r="AO30" s="24">
        <f t="shared" si="10"/>
        <v>58.793969849246224</v>
      </c>
      <c r="AP30" s="24">
        <f t="shared" si="11"/>
        <v>102.21606648199446</v>
      </c>
      <c r="AQ30" s="24">
        <f t="shared" si="12"/>
        <v>165.04065040650408</v>
      </c>
      <c r="AS30" s="24">
        <f t="shared" si="13"/>
        <v>458.75</v>
      </c>
      <c r="AU30" s="24">
        <f t="shared" si="14"/>
        <v>1212.4223602484471</v>
      </c>
      <c r="AV30" s="24">
        <f t="shared" si="15"/>
        <v>1573.1707317073171</v>
      </c>
      <c r="AW30" s="29">
        <f t="shared" si="16"/>
        <v>0.5636471997691811</v>
      </c>
      <c r="AX30" s="25">
        <f t="shared" si="17"/>
        <v>4.6489343833421186</v>
      </c>
      <c r="AY30" s="26">
        <f t="shared" si="18"/>
        <v>8.3093386158181487E-2</v>
      </c>
      <c r="AZ30" s="23">
        <f t="shared" si="19"/>
        <v>21.268933353412034</v>
      </c>
      <c r="BA30" s="25">
        <f t="shared" si="20"/>
        <v>0.38321218735479651</v>
      </c>
      <c r="BB30" s="37">
        <f t="shared" si="21"/>
        <v>0.61859037161020747</v>
      </c>
      <c r="BC30" s="23">
        <f t="shared" si="22"/>
        <v>-15.964597696987326</v>
      </c>
      <c r="BD30" s="38">
        <f t="shared" si="23"/>
        <v>-15.357590764689677</v>
      </c>
      <c r="BE30" s="24">
        <f t="shared" si="24"/>
        <v>7.4061404750603641</v>
      </c>
    </row>
    <row r="31" spans="1:57" s="6" customFormat="1" ht="16" customHeight="1">
      <c r="A31" s="6" t="s">
        <v>172</v>
      </c>
      <c r="B31" s="6" t="s">
        <v>173</v>
      </c>
      <c r="C31" s="6" t="s">
        <v>187</v>
      </c>
      <c r="D31" s="24">
        <v>6.1</v>
      </c>
      <c r="E31" s="24">
        <v>500</v>
      </c>
      <c r="F31" s="6">
        <v>0.75</v>
      </c>
      <c r="G31" s="6">
        <v>0.85</v>
      </c>
      <c r="H31" s="17">
        <f t="shared" si="0"/>
        <v>1070.1359616502841</v>
      </c>
      <c r="I31" s="17">
        <f t="shared" si="1"/>
        <v>797.13596165028412</v>
      </c>
      <c r="J31" s="6">
        <v>154</v>
      </c>
      <c r="K31" s="6">
        <v>8.9</v>
      </c>
      <c r="M31" s="6">
        <v>658</v>
      </c>
      <c r="Q31" s="6">
        <v>94.3</v>
      </c>
      <c r="R31" s="6">
        <v>137.4</v>
      </c>
      <c r="S31" s="17">
        <f t="shared" si="2"/>
        <v>94.328479335084936</v>
      </c>
      <c r="T31" s="20">
        <f t="shared" si="3"/>
        <v>138.52531907334395</v>
      </c>
      <c r="U31" s="6">
        <v>1.2E-2</v>
      </c>
      <c r="V31" s="6">
        <v>10.67</v>
      </c>
      <c r="W31" s="6">
        <v>6.0999999999999999E-2</v>
      </c>
      <c r="X31" s="6">
        <v>1.36</v>
      </c>
      <c r="Y31" s="6">
        <v>2.42</v>
      </c>
      <c r="Z31" s="6">
        <v>0.91</v>
      </c>
      <c r="AA31" s="6">
        <v>10.1</v>
      </c>
      <c r="AB31" s="6">
        <v>3.63</v>
      </c>
      <c r="AC31" s="6">
        <v>44.1</v>
      </c>
      <c r="AE31" s="6">
        <v>89.8</v>
      </c>
      <c r="AG31" s="6">
        <v>232</v>
      </c>
      <c r="AH31" s="6">
        <v>43.9</v>
      </c>
      <c r="AI31" s="23">
        <f t="shared" si="4"/>
        <v>5.0632911392405069E-2</v>
      </c>
      <c r="AJ31" s="23">
        <f t="shared" si="5"/>
        <v>17.406199021207179</v>
      </c>
      <c r="AK31" s="23">
        <f t="shared" si="6"/>
        <v>0.65732758620689657</v>
      </c>
      <c r="AL31" s="23">
        <f t="shared" si="7"/>
        <v>2.9759299781181618</v>
      </c>
      <c r="AM31" s="24">
        <f t="shared" si="8"/>
        <v>16.351351351351351</v>
      </c>
      <c r="AN31" s="29">
        <f t="shared" si="9"/>
        <v>16.163410301953817</v>
      </c>
      <c r="AO31" s="24">
        <f t="shared" si="10"/>
        <v>50.753768844221099</v>
      </c>
      <c r="AP31" s="24">
        <f t="shared" si="11"/>
        <v>100.55401662049861</v>
      </c>
      <c r="AQ31" s="24">
        <f t="shared" si="12"/>
        <v>179.26829268292684</v>
      </c>
      <c r="AS31" s="24">
        <f t="shared" si="13"/>
        <v>561.25</v>
      </c>
      <c r="AU31" s="24">
        <f t="shared" si="14"/>
        <v>1440.9937888198758</v>
      </c>
      <c r="AV31" s="24">
        <f t="shared" si="15"/>
        <v>1784.5528455284552</v>
      </c>
      <c r="AW31" s="29">
        <f t="shared" si="16"/>
        <v>0.56107642803592084</v>
      </c>
      <c r="AX31" s="25">
        <f t="shared" si="17"/>
        <v>3.8936769359389332</v>
      </c>
      <c r="AY31" s="26">
        <f t="shared" si="18"/>
        <v>7.7025630197975842E-2</v>
      </c>
      <c r="AZ31" s="23">
        <f t="shared" si="19"/>
        <v>15.564642592510555</v>
      </c>
      <c r="BA31" s="25">
        <f t="shared" si="20"/>
        <v>0.30388190236613821</v>
      </c>
      <c r="BB31" s="37">
        <f t="shared" si="21"/>
        <v>0.21585393639785577</v>
      </c>
      <c r="BC31" s="23">
        <f t="shared" si="22"/>
        <v>-14.812007359091123</v>
      </c>
      <c r="BD31" s="38">
        <f t="shared" si="23"/>
        <v>-14.607636127529783</v>
      </c>
      <c r="BE31" s="24">
        <f t="shared" si="24"/>
        <v>8.889049875616486</v>
      </c>
    </row>
    <row r="32" spans="1:57" s="6" customFormat="1" ht="16" customHeight="1">
      <c r="A32" s="6" t="s">
        <v>172</v>
      </c>
      <c r="B32" s="6" t="s">
        <v>173</v>
      </c>
      <c r="C32" s="6" t="s">
        <v>188</v>
      </c>
      <c r="D32" s="24">
        <v>6.1</v>
      </c>
      <c r="E32" s="24">
        <v>500</v>
      </c>
      <c r="F32" s="6">
        <v>0.75</v>
      </c>
      <c r="G32" s="6">
        <v>0.85</v>
      </c>
      <c r="H32" s="17">
        <f t="shared" si="0"/>
        <v>1080.7535464688071</v>
      </c>
      <c r="I32" s="17">
        <f t="shared" si="1"/>
        <v>807.75354646880714</v>
      </c>
      <c r="J32" s="6">
        <v>147</v>
      </c>
      <c r="K32" s="6">
        <v>9.9</v>
      </c>
      <c r="M32" s="6">
        <v>670</v>
      </c>
      <c r="Q32" s="6">
        <v>97.2</v>
      </c>
      <c r="R32" s="6">
        <v>118.2</v>
      </c>
      <c r="S32" s="17">
        <f t="shared" si="2"/>
        <v>97.229355157690946</v>
      </c>
      <c r="T32" s="20">
        <f t="shared" si="3"/>
        <v>119.16806924650112</v>
      </c>
      <c r="U32" s="6">
        <v>9.6000000000000002E-2</v>
      </c>
      <c r="V32" s="6">
        <v>12.4</v>
      </c>
      <c r="W32" s="6">
        <v>0.105</v>
      </c>
      <c r="X32" s="6">
        <v>1.48</v>
      </c>
      <c r="Y32" s="6">
        <v>2.5299999999999998</v>
      </c>
      <c r="Z32" s="6">
        <v>0.99</v>
      </c>
      <c r="AA32" s="6">
        <v>11.5</v>
      </c>
      <c r="AB32" s="6">
        <v>3.74</v>
      </c>
      <c r="AC32" s="6">
        <v>45.3</v>
      </c>
      <c r="AE32" s="6">
        <v>87.1</v>
      </c>
      <c r="AG32" s="6">
        <v>231.9</v>
      </c>
      <c r="AH32" s="6">
        <v>44.6</v>
      </c>
      <c r="AI32" s="23">
        <f t="shared" si="4"/>
        <v>0.40506329113924056</v>
      </c>
      <c r="AJ32" s="23">
        <f t="shared" si="5"/>
        <v>20.228384991843395</v>
      </c>
      <c r="AK32" s="23">
        <f t="shared" si="6"/>
        <v>1.1314655172413794</v>
      </c>
      <c r="AL32" s="23">
        <f t="shared" si="7"/>
        <v>3.2385120350109409</v>
      </c>
      <c r="AM32" s="24">
        <f t="shared" si="8"/>
        <v>17.094594594594593</v>
      </c>
      <c r="AN32" s="29">
        <f t="shared" si="9"/>
        <v>17.584369449378329</v>
      </c>
      <c r="AO32" s="24">
        <f t="shared" si="10"/>
        <v>57.788944723618087</v>
      </c>
      <c r="AP32" s="24">
        <f t="shared" si="11"/>
        <v>103.601108033241</v>
      </c>
      <c r="AQ32" s="24">
        <f t="shared" si="12"/>
        <v>184.14634146341461</v>
      </c>
      <c r="AS32" s="24">
        <f t="shared" si="13"/>
        <v>544.375</v>
      </c>
      <c r="AU32" s="24">
        <f t="shared" si="14"/>
        <v>1440.3726708074535</v>
      </c>
      <c r="AV32" s="24">
        <f t="shared" si="15"/>
        <v>1813.0081300813008</v>
      </c>
      <c r="AW32" s="29">
        <f t="shared" si="16"/>
        <v>0.55946769563817733</v>
      </c>
      <c r="AX32" s="25">
        <f t="shared" si="17"/>
        <v>3.8841871064142541</v>
      </c>
      <c r="AY32" s="26">
        <f t="shared" si="18"/>
        <v>0.10405471934222912</v>
      </c>
      <c r="AZ32" s="23">
        <f t="shared" si="19"/>
        <v>12.037178711767789</v>
      </c>
      <c r="BA32" s="25">
        <f t="shared" si="20"/>
        <v>0.36101407676234704</v>
      </c>
      <c r="BB32" s="37">
        <f t="shared" si="21"/>
        <v>0.51498149720053132</v>
      </c>
      <c r="BC32" s="23">
        <f t="shared" si="22"/>
        <v>-14.583733241241889</v>
      </c>
      <c r="BD32" s="38">
        <f t="shared" si="23"/>
        <v>-14.080309268177727</v>
      </c>
      <c r="BE32" s="24">
        <f t="shared" si="24"/>
        <v>9.3226824740544902</v>
      </c>
    </row>
    <row r="33" spans="1:57" s="6" customFormat="1" ht="16" customHeight="1">
      <c r="A33" s="6" t="s">
        <v>172</v>
      </c>
      <c r="B33" s="6" t="s">
        <v>173</v>
      </c>
      <c r="C33" s="6" t="s">
        <v>204</v>
      </c>
      <c r="D33" s="24">
        <v>6.2</v>
      </c>
      <c r="E33" s="24">
        <v>500</v>
      </c>
      <c r="F33" s="6">
        <v>0.75</v>
      </c>
      <c r="G33" s="6">
        <v>0.85</v>
      </c>
      <c r="H33" s="17">
        <f t="shared" si="0"/>
        <v>1064.4576388280991</v>
      </c>
      <c r="I33" s="17">
        <f t="shared" si="1"/>
        <v>791.45763882809911</v>
      </c>
      <c r="J33" s="6">
        <v>113</v>
      </c>
      <c r="K33" s="6">
        <v>8.4</v>
      </c>
      <c r="M33" s="6">
        <v>355</v>
      </c>
      <c r="Q33" s="6">
        <v>41</v>
      </c>
      <c r="R33" s="6">
        <v>65.3</v>
      </c>
      <c r="S33" s="17">
        <f t="shared" si="2"/>
        <v>41.012585339599596</v>
      </c>
      <c r="T33" s="20">
        <f t="shared" si="3"/>
        <v>65.835873731280699</v>
      </c>
      <c r="U33" s="6">
        <v>-3.8999999999999998E-3</v>
      </c>
      <c r="V33" s="6">
        <v>7.41</v>
      </c>
      <c r="W33" s="6">
        <v>0.02</v>
      </c>
      <c r="X33" s="6">
        <v>0.43</v>
      </c>
      <c r="Y33" s="6">
        <v>0.61</v>
      </c>
      <c r="Z33" s="6">
        <v>0.46</v>
      </c>
      <c r="AA33" s="6">
        <v>5.05</v>
      </c>
      <c r="AB33" s="6">
        <v>1.77</v>
      </c>
      <c r="AC33" s="6">
        <v>19.8</v>
      </c>
      <c r="AE33" s="6">
        <v>38.9</v>
      </c>
      <c r="AG33" s="6">
        <v>101.1</v>
      </c>
      <c r="AH33" s="6">
        <v>20.89</v>
      </c>
      <c r="AI33" s="23">
        <f t="shared" si="4"/>
        <v>-1.6455696202531647E-2</v>
      </c>
      <c r="AJ33" s="23">
        <f t="shared" si="5"/>
        <v>12.088091353996738</v>
      </c>
      <c r="AK33" s="23">
        <f t="shared" si="6"/>
        <v>0.21551724137931036</v>
      </c>
      <c r="AL33" s="23">
        <f t="shared" si="7"/>
        <v>0.94091903719912473</v>
      </c>
      <c r="AM33" s="24">
        <f t="shared" si="8"/>
        <v>4.1216216216216219</v>
      </c>
      <c r="AN33" s="29">
        <f t="shared" si="9"/>
        <v>8.1705150976909415</v>
      </c>
      <c r="AO33" s="24">
        <f t="shared" si="10"/>
        <v>25.37688442211055</v>
      </c>
      <c r="AP33" s="24">
        <f t="shared" si="11"/>
        <v>49.030470914127427</v>
      </c>
      <c r="AQ33" s="24">
        <f t="shared" si="12"/>
        <v>80.487804878048792</v>
      </c>
      <c r="AS33" s="24">
        <f t="shared" si="13"/>
        <v>243.125</v>
      </c>
      <c r="AU33" s="24">
        <f t="shared" si="14"/>
        <v>627.9503105590062</v>
      </c>
      <c r="AV33" s="24">
        <f t="shared" si="15"/>
        <v>849.18699186991876</v>
      </c>
      <c r="AW33" s="29">
        <f t="shared" si="16"/>
        <v>0.79890699947921673</v>
      </c>
      <c r="AX33" s="25">
        <f t="shared" si="17"/>
        <v>12.722455679144797</v>
      </c>
      <c r="AY33" s="26">
        <f t="shared" si="18"/>
        <v>0.11255261880847911</v>
      </c>
      <c r="AZ33" s="23">
        <f t="shared" si="19"/>
        <v>7.8376040156286546</v>
      </c>
      <c r="BA33" s="25">
        <f t="shared" si="20"/>
        <v>0.31509917285613848</v>
      </c>
      <c r="BB33" s="37">
        <f t="shared" si="21"/>
        <v>0.27879215803659996</v>
      </c>
      <c r="BC33" s="23">
        <f t="shared" si="22"/>
        <v>-14.935967869028634</v>
      </c>
      <c r="BD33" s="38">
        <f t="shared" si="23"/>
        <v>-14.668674158255175</v>
      </c>
      <c r="BE33" s="24">
        <f t="shared" si="24"/>
        <v>36.189045193426196</v>
      </c>
    </row>
    <row r="34" spans="1:57" s="6" customFormat="1" ht="16" customHeight="1">
      <c r="A34" s="6" t="s">
        <v>172</v>
      </c>
      <c r="B34" s="6" t="s">
        <v>173</v>
      </c>
      <c r="C34" s="6" t="s">
        <v>205</v>
      </c>
      <c r="D34" s="24">
        <v>6.7</v>
      </c>
      <c r="E34" s="24">
        <v>500</v>
      </c>
      <c r="F34" s="6">
        <v>0.75</v>
      </c>
      <c r="G34" s="6">
        <v>0.85</v>
      </c>
      <c r="H34" s="17">
        <f t="shared" si="0"/>
        <v>1097.8419489045364</v>
      </c>
      <c r="I34" s="17">
        <f t="shared" si="1"/>
        <v>824.84194890453637</v>
      </c>
      <c r="J34" s="6">
        <v>215</v>
      </c>
      <c r="K34" s="6">
        <v>11.7</v>
      </c>
      <c r="M34" s="6">
        <v>1554</v>
      </c>
      <c r="Q34" s="6">
        <v>162</v>
      </c>
      <c r="R34" s="6">
        <v>136.6</v>
      </c>
      <c r="S34" s="17">
        <f t="shared" si="2"/>
        <v>162.05373838183462</v>
      </c>
      <c r="T34" s="20">
        <f t="shared" si="3"/>
        <v>137.73207851753142</v>
      </c>
      <c r="U34" s="6">
        <v>-3.7699999999999999E-3</v>
      </c>
      <c r="V34" s="6">
        <v>20.8</v>
      </c>
      <c r="W34" s="6">
        <v>0.26400000000000001</v>
      </c>
      <c r="X34" s="6">
        <v>5.12</v>
      </c>
      <c r="Y34" s="6">
        <v>9.5</v>
      </c>
      <c r="Z34" s="6">
        <v>2.61</v>
      </c>
      <c r="AA34" s="6">
        <v>48</v>
      </c>
      <c r="AB34" s="6">
        <v>13.47</v>
      </c>
      <c r="AC34" s="6">
        <v>147.1</v>
      </c>
      <c r="AE34" s="6">
        <v>213</v>
      </c>
      <c r="AG34" s="6">
        <v>401</v>
      </c>
      <c r="AH34" s="6">
        <v>67</v>
      </c>
      <c r="AI34" s="23">
        <f t="shared" si="4"/>
        <v>-1.5907172995780591E-2</v>
      </c>
      <c r="AJ34" s="23">
        <f t="shared" si="5"/>
        <v>33.931484502446985</v>
      </c>
      <c r="AK34" s="23">
        <f t="shared" si="6"/>
        <v>2.8448275862068968</v>
      </c>
      <c r="AL34" s="23">
        <f t="shared" si="7"/>
        <v>11.203501094091903</v>
      </c>
      <c r="AM34" s="24">
        <f t="shared" si="8"/>
        <v>64.189189189189193</v>
      </c>
      <c r="AN34" s="29">
        <f t="shared" si="9"/>
        <v>46.358792184724685</v>
      </c>
      <c r="AO34" s="24">
        <f t="shared" si="10"/>
        <v>241.20603015075375</v>
      </c>
      <c r="AP34" s="24">
        <f t="shared" si="11"/>
        <v>373.13019390581718</v>
      </c>
      <c r="AQ34" s="24">
        <f t="shared" si="12"/>
        <v>597.96747967479678</v>
      </c>
      <c r="AS34" s="24">
        <f t="shared" si="13"/>
        <v>1331.25</v>
      </c>
      <c r="AU34" s="24">
        <f t="shared" si="14"/>
        <v>2490.6832298136646</v>
      </c>
      <c r="AV34" s="24">
        <f t="shared" si="15"/>
        <v>2723.5772357723577</v>
      </c>
      <c r="AW34" s="29">
        <f t="shared" si="16"/>
        <v>0.37256931820875844</v>
      </c>
      <c r="AX34" s="25">
        <f t="shared" si="17"/>
        <v>1.4958518761000028</v>
      </c>
      <c r="AY34" s="26">
        <f t="shared" si="18"/>
        <v>0.15101783276546171</v>
      </c>
      <c r="AZ34" s="23">
        <f t="shared" si="19"/>
        <v>11.771972522865934</v>
      </c>
      <c r="BA34" s="25">
        <f t="shared" si="20"/>
        <v>0.51814683935984651</v>
      </c>
      <c r="BB34" s="37">
        <f t="shared" si="21"/>
        <v>1.1423825076884544</v>
      </c>
      <c r="BC34" s="23">
        <f t="shared" si="22"/>
        <v>-14.225637102274044</v>
      </c>
      <c r="BD34" s="38">
        <f t="shared" si="23"/>
        <v>-13.094969047438939</v>
      </c>
      <c r="BE34" s="24">
        <f t="shared" si="24"/>
        <v>1.9489382764260417</v>
      </c>
    </row>
    <row r="35" spans="1:57" s="6" customFormat="1" ht="16" customHeight="1">
      <c r="A35" s="6" t="s">
        <v>172</v>
      </c>
      <c r="B35" s="6" t="s">
        <v>173</v>
      </c>
      <c r="C35" s="6" t="s">
        <v>206</v>
      </c>
      <c r="D35" s="24">
        <v>6.8</v>
      </c>
      <c r="E35" s="24">
        <v>500</v>
      </c>
      <c r="F35" s="6">
        <v>0.75</v>
      </c>
      <c r="G35" s="6">
        <v>0.85</v>
      </c>
      <c r="H35" s="17">
        <f t="shared" si="0"/>
        <v>1041.409452777729</v>
      </c>
      <c r="I35" s="17">
        <f t="shared" si="1"/>
        <v>768.40945277772903</v>
      </c>
      <c r="J35" s="6">
        <v>84</v>
      </c>
      <c r="K35" s="6">
        <v>6.6</v>
      </c>
      <c r="M35" s="6">
        <v>364.4</v>
      </c>
      <c r="Q35" s="6">
        <v>50.5</v>
      </c>
      <c r="R35" s="6">
        <v>78.5</v>
      </c>
      <c r="S35" s="17">
        <f t="shared" si="2"/>
        <v>50.517001848166117</v>
      </c>
      <c r="T35" s="20">
        <f t="shared" si="3"/>
        <v>79.151847250087314</v>
      </c>
      <c r="U35" s="6">
        <v>5.0000000000000001E-4</v>
      </c>
      <c r="V35" s="6">
        <v>8.86</v>
      </c>
      <c r="W35" s="6">
        <v>0.01</v>
      </c>
      <c r="X35" s="6">
        <v>0.34</v>
      </c>
      <c r="Y35" s="6">
        <v>0.71</v>
      </c>
      <c r="Z35" s="6">
        <v>0.30399999999999999</v>
      </c>
      <c r="AA35" s="6">
        <v>4</v>
      </c>
      <c r="AB35" s="6">
        <v>1.44</v>
      </c>
      <c r="AC35" s="6">
        <v>19.7</v>
      </c>
      <c r="AE35" s="6">
        <v>37</v>
      </c>
      <c r="AG35" s="6">
        <v>100.9</v>
      </c>
      <c r="AH35" s="6">
        <v>20.68</v>
      </c>
      <c r="AI35" s="23">
        <f t="shared" si="4"/>
        <v>2.1097046413502112E-3</v>
      </c>
      <c r="AJ35" s="23">
        <f t="shared" si="5"/>
        <v>14.453507340946166</v>
      </c>
      <c r="AK35" s="23">
        <f t="shared" si="6"/>
        <v>0.10775862068965518</v>
      </c>
      <c r="AL35" s="23">
        <f t="shared" si="7"/>
        <v>0.74398249452954046</v>
      </c>
      <c r="AM35" s="24">
        <f t="shared" si="8"/>
        <v>4.7972972972972974</v>
      </c>
      <c r="AN35" s="29">
        <f t="shared" si="9"/>
        <v>5.3996447602131434</v>
      </c>
      <c r="AO35" s="24">
        <f t="shared" si="10"/>
        <v>20.100502512562812</v>
      </c>
      <c r="AP35" s="24">
        <f t="shared" si="11"/>
        <v>39.889196675900273</v>
      </c>
      <c r="AQ35" s="24">
        <f t="shared" si="12"/>
        <v>80.081300813008127</v>
      </c>
      <c r="AS35" s="24">
        <f t="shared" si="13"/>
        <v>231.25</v>
      </c>
      <c r="AU35" s="24">
        <f t="shared" si="14"/>
        <v>626.70807453416148</v>
      </c>
      <c r="AV35" s="24">
        <f t="shared" si="15"/>
        <v>840.65040650406502</v>
      </c>
      <c r="AW35" s="29">
        <f t="shared" si="16"/>
        <v>0.54987429052393055</v>
      </c>
      <c r="AX35" s="25">
        <f t="shared" si="17"/>
        <v>8.7740099875473554</v>
      </c>
      <c r="AY35" s="26">
        <f t="shared" si="18"/>
        <v>0.11193674320709206</v>
      </c>
      <c r="AZ35" s="23">
        <f t="shared" si="19"/>
        <v>11.992704128801108</v>
      </c>
      <c r="BA35" s="25">
        <f t="shared" si="20"/>
        <v>0.38764235797861091</v>
      </c>
      <c r="BB35" s="37">
        <f t="shared" si="21"/>
        <v>0.63854804420167688</v>
      </c>
      <c r="BC35" s="23">
        <f t="shared" si="22"/>
        <v>-15.453110107673227</v>
      </c>
      <c r="BD35" s="38">
        <f t="shared" si="23"/>
        <v>-14.826150494698215</v>
      </c>
      <c r="BE35" s="24">
        <f t="shared" si="24"/>
        <v>53.312882214215129</v>
      </c>
    </row>
    <row r="36" spans="1:57" s="6" customFormat="1" ht="16" customHeight="1">
      <c r="A36" s="6" t="s">
        <v>172</v>
      </c>
      <c r="B36" s="6" t="s">
        <v>173</v>
      </c>
      <c r="C36" s="6" t="s">
        <v>207</v>
      </c>
      <c r="D36" s="24">
        <v>7.3</v>
      </c>
      <c r="E36" s="24">
        <v>500</v>
      </c>
      <c r="F36" s="6">
        <v>0.75</v>
      </c>
      <c r="G36" s="6">
        <v>0.85</v>
      </c>
      <c r="H36" s="17">
        <f t="shared" si="0"/>
        <v>1067.8966626831657</v>
      </c>
      <c r="I36" s="17">
        <f t="shared" si="1"/>
        <v>794.89666268316569</v>
      </c>
      <c r="J36" s="6">
        <v>146</v>
      </c>
      <c r="K36" s="6">
        <v>8.6999999999999993</v>
      </c>
      <c r="M36" s="6">
        <v>521</v>
      </c>
      <c r="Q36" s="6">
        <v>50.1</v>
      </c>
      <c r="R36" s="6">
        <v>71.900000000000006</v>
      </c>
      <c r="S36" s="17">
        <f t="shared" si="2"/>
        <v>50.11810763799263</v>
      </c>
      <c r="T36" s="20">
        <f t="shared" si="3"/>
        <v>72.502881799033204</v>
      </c>
      <c r="U36" s="6">
        <v>6.4000000000000001E-2</v>
      </c>
      <c r="V36" s="6">
        <v>7.8</v>
      </c>
      <c r="W36" s="6">
        <v>6.5000000000000002E-2</v>
      </c>
      <c r="X36" s="6">
        <v>1.27</v>
      </c>
      <c r="Y36" s="6">
        <v>1.9</v>
      </c>
      <c r="Z36" s="6">
        <v>0.64</v>
      </c>
      <c r="AA36" s="6">
        <v>8.6999999999999993</v>
      </c>
      <c r="AB36" s="6">
        <v>2.81</v>
      </c>
      <c r="AC36" s="6">
        <v>32.9</v>
      </c>
      <c r="AE36" s="6">
        <v>65.2</v>
      </c>
      <c r="AG36" s="6">
        <v>179.2</v>
      </c>
      <c r="AH36" s="6">
        <v>34.9</v>
      </c>
      <c r="AI36" s="23">
        <f t="shared" si="4"/>
        <v>0.27004219409282704</v>
      </c>
      <c r="AJ36" s="23">
        <f t="shared" si="5"/>
        <v>12.724306688417618</v>
      </c>
      <c r="AK36" s="23">
        <f t="shared" si="6"/>
        <v>0.70043103448275867</v>
      </c>
      <c r="AL36" s="23">
        <f t="shared" si="7"/>
        <v>2.7789934354485775</v>
      </c>
      <c r="AM36" s="24">
        <f t="shared" si="8"/>
        <v>12.837837837837839</v>
      </c>
      <c r="AN36" s="29">
        <f t="shared" si="9"/>
        <v>11.367673179396093</v>
      </c>
      <c r="AO36" s="24">
        <f t="shared" si="10"/>
        <v>43.718592964824111</v>
      </c>
      <c r="AP36" s="24">
        <f t="shared" si="11"/>
        <v>77.8393351800554</v>
      </c>
      <c r="AQ36" s="24">
        <f t="shared" si="12"/>
        <v>133.73983739837399</v>
      </c>
      <c r="AS36" s="24">
        <f t="shared" si="13"/>
        <v>407.5</v>
      </c>
      <c r="AU36" s="24">
        <f t="shared" si="14"/>
        <v>1113.0434782608695</v>
      </c>
      <c r="AV36" s="24">
        <f t="shared" si="15"/>
        <v>1418.6991869918697</v>
      </c>
      <c r="AW36" s="29">
        <f t="shared" si="16"/>
        <v>0.47983569083312483</v>
      </c>
      <c r="AX36" s="25">
        <f t="shared" si="17"/>
        <v>4.3110237848288557</v>
      </c>
      <c r="AY36" s="26">
        <f t="shared" si="18"/>
        <v>0.10758193062753554</v>
      </c>
      <c r="AZ36" s="23">
        <f t="shared" si="19"/>
        <v>8.333664574601519</v>
      </c>
      <c r="BA36" s="25">
        <f t="shared" si="20"/>
        <v>0.31056845524007148</v>
      </c>
      <c r="BB36" s="37">
        <f t="shared" si="21"/>
        <v>0.25364505288388273</v>
      </c>
      <c r="BC36" s="23">
        <f t="shared" si="22"/>
        <v>-14.860733952085313</v>
      </c>
      <c r="BD36" s="38">
        <f t="shared" si="23"/>
        <v>-14.618581056543322</v>
      </c>
      <c r="BE36" s="24">
        <f t="shared" si="24"/>
        <v>8.7883811516418326</v>
      </c>
    </row>
    <row r="37" spans="1:57" s="6" customFormat="1" ht="16" customHeight="1">
      <c r="A37" s="6" t="s">
        <v>172</v>
      </c>
      <c r="B37" s="6" t="s">
        <v>173</v>
      </c>
      <c r="C37" s="6" t="s">
        <v>189</v>
      </c>
      <c r="D37" s="24">
        <v>8.9</v>
      </c>
      <c r="E37" s="24">
        <v>500</v>
      </c>
      <c r="F37" s="6">
        <v>0.75</v>
      </c>
      <c r="G37" s="6">
        <v>0.85</v>
      </c>
      <c r="H37" s="17">
        <f t="shared" si="0"/>
        <v>1054.7698145281088</v>
      </c>
      <c r="I37" s="17">
        <f t="shared" si="1"/>
        <v>781.76981452810878</v>
      </c>
      <c r="J37" s="6">
        <v>125</v>
      </c>
      <c r="K37" s="6">
        <v>7.6</v>
      </c>
      <c r="M37" s="6">
        <v>491</v>
      </c>
      <c r="Q37" s="6">
        <v>37.4</v>
      </c>
      <c r="R37" s="6">
        <v>49.6</v>
      </c>
      <c r="S37" s="17">
        <f t="shared" si="2"/>
        <v>37.416480865922843</v>
      </c>
      <c r="T37" s="20">
        <f t="shared" si="3"/>
        <v>50.028789647138417</v>
      </c>
      <c r="U37" s="6">
        <v>-3.16E-3</v>
      </c>
      <c r="V37" s="6">
        <v>6.23</v>
      </c>
      <c r="W37" s="6">
        <v>4.2000000000000003E-2</v>
      </c>
      <c r="X37" s="6">
        <v>1.27</v>
      </c>
      <c r="Y37" s="6">
        <v>2.17</v>
      </c>
      <c r="Z37" s="6">
        <v>0.84</v>
      </c>
      <c r="AA37" s="6">
        <v>9.6</v>
      </c>
      <c r="AB37" s="6">
        <v>2.86</v>
      </c>
      <c r="AC37" s="6">
        <v>32.6</v>
      </c>
      <c r="AE37" s="6">
        <v>58.7</v>
      </c>
      <c r="AG37" s="6">
        <v>148</v>
      </c>
      <c r="AH37" s="6">
        <v>28.9</v>
      </c>
      <c r="AI37" s="23">
        <f t="shared" si="4"/>
        <v>-1.3333333333333334E-2</v>
      </c>
      <c r="AJ37" s="23">
        <f t="shared" si="5"/>
        <v>10.163132137030995</v>
      </c>
      <c r="AK37" s="23">
        <f t="shared" si="6"/>
        <v>0.45258620689655177</v>
      </c>
      <c r="AL37" s="23">
        <f t="shared" si="7"/>
        <v>2.7789934354485775</v>
      </c>
      <c r="AM37" s="24">
        <f t="shared" si="8"/>
        <v>14.662162162162163</v>
      </c>
      <c r="AN37" s="29">
        <f t="shared" si="9"/>
        <v>14.92007104795737</v>
      </c>
      <c r="AO37" s="24">
        <f t="shared" si="10"/>
        <v>48.241206030150749</v>
      </c>
      <c r="AP37" s="24">
        <f t="shared" si="11"/>
        <v>79.22437673130193</v>
      </c>
      <c r="AQ37" s="24">
        <f t="shared" si="12"/>
        <v>132.52032520325204</v>
      </c>
      <c r="AS37" s="24">
        <f t="shared" si="13"/>
        <v>366.875</v>
      </c>
      <c r="AU37" s="24">
        <f t="shared" si="14"/>
        <v>919.25465838509319</v>
      </c>
      <c r="AV37" s="24">
        <f t="shared" si="15"/>
        <v>1174.7967479674796</v>
      </c>
      <c r="AW37" s="29">
        <f t="shared" si="16"/>
        <v>0.56099992561154066</v>
      </c>
      <c r="AX37" s="25">
        <f t="shared" si="17"/>
        <v>6.1027694610444625</v>
      </c>
      <c r="AY37" s="26">
        <f t="shared" si="18"/>
        <v>0.12452829748513311</v>
      </c>
      <c r="AZ37" s="23">
        <f t="shared" si="19"/>
        <v>6.582735479886634</v>
      </c>
      <c r="BA37" s="25">
        <f t="shared" si="20"/>
        <v>0.31950028690629967</v>
      </c>
      <c r="BB37" s="37">
        <f t="shared" si="21"/>
        <v>0.30287606743222906</v>
      </c>
      <c r="BC37" s="23">
        <f t="shared" si="22"/>
        <v>-15.150560231442704</v>
      </c>
      <c r="BD37" s="38">
        <f t="shared" si="23"/>
        <v>-14.859188635262958</v>
      </c>
      <c r="BE37" s="24">
        <f t="shared" si="24"/>
        <v>7.4483239838721644</v>
      </c>
    </row>
  </sheetData>
  <autoFilter ref="C1:C37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 Salvador hbld comps</vt:lpstr>
      <vt:lpstr>El Salvador zircon comps</vt:lpstr>
      <vt:lpstr>Villalobos zircons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Loucks</dc:creator>
  <cp:keywords/>
  <dc:description/>
  <cp:lastModifiedBy>Robert Loucks</cp:lastModifiedBy>
  <cp:revision/>
  <dcterms:created xsi:type="dcterms:W3CDTF">2022-12-18T05:06:46Z</dcterms:created>
  <dcterms:modified xsi:type="dcterms:W3CDTF">2023-11-05T17:20:24Z</dcterms:modified>
  <cp:category/>
  <cp:contentStatus/>
</cp:coreProperties>
</file>